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0.13.23\share\01 住宅課\07_住まいのゼロカーボン推進補助金\06_広報（HP／チラシ／SNS／イベント）\01_HP関係\R7\R7.04_メインページ更新\"/>
    </mc:Choice>
  </mc:AlternateContent>
  <xr:revisionPtr revIDLastSave="0" documentId="13_ncr:1_{79AC99ED-B6BC-4F31-BAFE-717F476924CF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注意事項" sheetId="4" r:id="rId1"/>
    <sheet name="対象機器等一覧" sheetId="1" r:id="rId2"/>
    <sheet name="補助金算定表" sheetId="3" r:id="rId3"/>
    <sheet name="リスト" sheetId="2" r:id="rId4"/>
  </sheets>
  <definedNames>
    <definedName name="_xlnm.Print_Area" localSheetId="1">対象機器等一覧!$A$1:$M$51</definedName>
    <definedName name="_xlnm.Print_Area" localSheetId="0">注意事項!$A$1:$J$37</definedName>
    <definedName name="_xlnm.Print_Area" localSheetId="2">補助金算定表!$A$1:$V$55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3" l="1"/>
  <c r="R42" i="3"/>
  <c r="G44" i="3"/>
  <c r="G43" i="3"/>
  <c r="G42" i="3"/>
  <c r="T20" i="3"/>
  <c r="T19" i="3"/>
  <c r="T18" i="3"/>
  <c r="K20" i="3"/>
  <c r="K19" i="3"/>
  <c r="K18" i="3"/>
  <c r="R13" i="3"/>
  <c r="T13" i="3" s="1"/>
  <c r="G14" i="3"/>
  <c r="I14" i="3" s="1"/>
  <c r="G13" i="3"/>
  <c r="I13" i="3" s="1"/>
  <c r="S14" i="3" l="1"/>
  <c r="K7" i="3" l="1"/>
  <c r="T7" i="3" s="1"/>
  <c r="S8" i="3" s="1"/>
  <c r="T42" i="3" l="1"/>
  <c r="I42" i="3"/>
  <c r="F31" i="3" l="1"/>
  <c r="F32" i="3"/>
  <c r="J29" i="1" l="1"/>
  <c r="N29" i="1"/>
  <c r="N26" i="1" l="1"/>
  <c r="N27" i="1" l="1"/>
  <c r="N28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K35" i="1"/>
  <c r="K36" i="1"/>
  <c r="K37" i="1"/>
  <c r="K38" i="1"/>
  <c r="K39" i="1"/>
  <c r="K40" i="1"/>
  <c r="K41" i="1"/>
  <c r="K42" i="1"/>
  <c r="K43" i="1"/>
  <c r="K44" i="1"/>
  <c r="K45" i="1"/>
  <c r="J26" i="1" l="1"/>
  <c r="K26" i="1" l="1"/>
  <c r="J34" i="1" l="1"/>
  <c r="K34" i="1" s="1"/>
  <c r="J33" i="1"/>
  <c r="K33" i="1" s="1"/>
  <c r="G37" i="3"/>
  <c r="T37" i="3" s="1"/>
  <c r="T43" i="3" l="1"/>
  <c r="I44" i="3"/>
  <c r="I43" i="3"/>
  <c r="T44" i="3" s="1"/>
  <c r="T31" i="3"/>
  <c r="T32" i="3"/>
  <c r="J28" i="1" l="1"/>
  <c r="K28" i="1" s="1"/>
  <c r="J30" i="1"/>
  <c r="K30" i="1" s="1"/>
  <c r="J31" i="1"/>
  <c r="K31" i="1" s="1"/>
  <c r="J32" i="1"/>
  <c r="J35" i="1"/>
  <c r="R51" i="3" s="1"/>
  <c r="J36" i="1"/>
  <c r="R52" i="3" s="1"/>
  <c r="J37" i="1"/>
  <c r="J38" i="1"/>
  <c r="J39" i="1"/>
  <c r="J40" i="1"/>
  <c r="J41" i="1"/>
  <c r="J42" i="1"/>
  <c r="J43" i="1"/>
  <c r="J44" i="1"/>
  <c r="J45" i="1"/>
  <c r="J27" i="1"/>
  <c r="K32" i="1" l="1"/>
  <c r="L51" i="3"/>
  <c r="K29" i="1"/>
  <c r="F52" i="3"/>
  <c r="K27" i="1"/>
  <c r="F51" i="3"/>
  <c r="G28" i="3"/>
  <c r="G29" i="3"/>
  <c r="M29" i="3"/>
  <c r="J29" i="3"/>
  <c r="M30" i="3"/>
  <c r="J30" i="3"/>
  <c r="G30" i="3"/>
  <c r="M28" i="3"/>
  <c r="J28" i="3"/>
  <c r="T29" i="3" l="1"/>
  <c r="T30" i="3"/>
  <c r="T28" i="3"/>
  <c r="T33" i="3" l="1"/>
  <c r="T45" i="3" s="1"/>
  <c r="S47" i="3" s="1"/>
</calcChain>
</file>

<file path=xl/sharedStrings.xml><?xml version="1.0" encoding="utf-8"?>
<sst xmlns="http://schemas.openxmlformats.org/spreadsheetml/2006/main" count="223" uniqueCount="150">
  <si>
    <t>対象機器等</t>
    <rPh sb="0" eb="2">
      <t>タイショウ</t>
    </rPh>
    <rPh sb="2" eb="4">
      <t>キキ</t>
    </rPh>
    <rPh sb="4" eb="5">
      <t>トウ</t>
    </rPh>
    <phoneticPr fontId="2"/>
  </si>
  <si>
    <t>施工場所</t>
    <rPh sb="0" eb="2">
      <t>セコウ</t>
    </rPh>
    <rPh sb="2" eb="4">
      <t>バショ</t>
    </rPh>
    <phoneticPr fontId="2"/>
  </si>
  <si>
    <t>メーカー</t>
    <phoneticPr fontId="2"/>
  </si>
  <si>
    <t>型式・商品名</t>
    <rPh sb="0" eb="2">
      <t>カタシキ</t>
    </rPh>
    <rPh sb="3" eb="6">
      <t>ショウヒンメイ</t>
    </rPh>
    <phoneticPr fontId="2"/>
  </si>
  <si>
    <t>面積</t>
    <rPh sb="0" eb="2">
      <t>メンセキ</t>
    </rPh>
    <phoneticPr fontId="2"/>
  </si>
  <si>
    <t>区分</t>
    <rPh sb="0" eb="2">
      <t>クブン</t>
    </rPh>
    <phoneticPr fontId="2"/>
  </si>
  <si>
    <t>【編集不可】リスト</t>
    <rPh sb="1" eb="3">
      <t>ヘンシュウ</t>
    </rPh>
    <rPh sb="3" eb="5">
      <t>フカ</t>
    </rPh>
    <phoneticPr fontId="2"/>
  </si>
  <si>
    <t>対象機器等</t>
    <rPh sb="0" eb="5">
      <t>タイショウキキトウ</t>
    </rPh>
    <phoneticPr fontId="2"/>
  </si>
  <si>
    <t>内窓</t>
    <rPh sb="0" eb="1">
      <t>ウチ</t>
    </rPh>
    <rPh sb="1" eb="2">
      <t>マド</t>
    </rPh>
    <phoneticPr fontId="2"/>
  </si>
  <si>
    <t>外窓</t>
    <rPh sb="0" eb="1">
      <t>ソト</t>
    </rPh>
    <rPh sb="1" eb="2">
      <t>マド</t>
    </rPh>
    <phoneticPr fontId="2"/>
  </si>
  <si>
    <t>窓ガラス</t>
    <rPh sb="0" eb="1">
      <t>マド</t>
    </rPh>
    <phoneticPr fontId="2"/>
  </si>
  <si>
    <t>玄関ドア</t>
    <rPh sb="0" eb="2">
      <t>ゲンカン</t>
    </rPh>
    <phoneticPr fontId="2"/>
  </si>
  <si>
    <t>勝手口ドア</t>
    <rPh sb="0" eb="3">
      <t>カッテグチ</t>
    </rPh>
    <phoneticPr fontId="2"/>
  </si>
  <si>
    <t>LED照明器具</t>
    <rPh sb="3" eb="5">
      <t>ショウメイ</t>
    </rPh>
    <rPh sb="5" eb="7">
      <t>キグ</t>
    </rPh>
    <phoneticPr fontId="2"/>
  </si>
  <si>
    <t>エコキュート</t>
    <phoneticPr fontId="2"/>
  </si>
  <si>
    <t>エコジョーズ</t>
    <phoneticPr fontId="2"/>
  </si>
  <si>
    <t>エコフィール</t>
    <phoneticPr fontId="2"/>
  </si>
  <si>
    <t>エネファーム</t>
    <phoneticPr fontId="2"/>
  </si>
  <si>
    <t>ハイブリッド給湯器</t>
    <rPh sb="6" eb="9">
      <t>キュウトウキ</t>
    </rPh>
    <phoneticPr fontId="2"/>
  </si>
  <si>
    <t>太陽熱利用設備（自然循環）</t>
    <rPh sb="0" eb="3">
      <t>タイヨウネツ</t>
    </rPh>
    <rPh sb="3" eb="5">
      <t>リヨウ</t>
    </rPh>
    <rPh sb="5" eb="7">
      <t>セツビ</t>
    </rPh>
    <rPh sb="8" eb="10">
      <t>シゼン</t>
    </rPh>
    <rPh sb="10" eb="12">
      <t>ジュンカン</t>
    </rPh>
    <phoneticPr fontId="2"/>
  </si>
  <si>
    <t>太陽熱利用設備（強制循環）</t>
    <rPh sb="0" eb="3">
      <t>タイヨウネツ</t>
    </rPh>
    <rPh sb="3" eb="5">
      <t>リヨウ</t>
    </rPh>
    <rPh sb="5" eb="7">
      <t>セツビ</t>
    </rPh>
    <rPh sb="8" eb="10">
      <t>キョウセイ</t>
    </rPh>
    <rPh sb="10" eb="12">
      <t>ジュンカン</t>
    </rPh>
    <phoneticPr fontId="2"/>
  </si>
  <si>
    <t>地中熱利用設備</t>
    <rPh sb="0" eb="2">
      <t>チチュウ</t>
    </rPh>
    <rPh sb="2" eb="3">
      <t>ネツ</t>
    </rPh>
    <rPh sb="3" eb="5">
      <t>リヨウ</t>
    </rPh>
    <rPh sb="5" eb="7">
      <t>セツビ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</si>
  <si>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</si>
  <si>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</si>
  <si>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大</t>
    <rPh sb="0" eb="1">
      <t>ダイ</t>
    </rPh>
    <phoneticPr fontId="2"/>
  </si>
  <si>
    <t>-</t>
    <phoneticPr fontId="2"/>
  </si>
  <si>
    <t>内窓、外窓</t>
    <rPh sb="0" eb="1">
      <t>ウチ</t>
    </rPh>
    <rPh sb="1" eb="2">
      <t>マド</t>
    </rPh>
    <rPh sb="3" eb="4">
      <t>ソト</t>
    </rPh>
    <rPh sb="4" eb="5">
      <t>マド</t>
    </rPh>
    <phoneticPr fontId="2"/>
  </si>
  <si>
    <t>ガラス交換</t>
    <rPh sb="3" eb="5">
      <t>コウカン</t>
    </rPh>
    <phoneticPr fontId="2"/>
  </si>
  <si>
    <t>No.</t>
    <phoneticPr fontId="2"/>
  </si>
  <si>
    <t>対象機器等</t>
    <rPh sb="0" eb="2">
      <t>タイショウ</t>
    </rPh>
    <rPh sb="2" eb="4">
      <t>キキ</t>
    </rPh>
    <rPh sb="4" eb="5">
      <t>トウ</t>
    </rPh>
    <phoneticPr fontId="2"/>
  </si>
  <si>
    <t>メーカー</t>
    <phoneticPr fontId="2"/>
  </si>
  <si>
    <t>モジュール型式</t>
    <rPh sb="5" eb="7">
      <t>カタシキ</t>
    </rPh>
    <phoneticPr fontId="2"/>
  </si>
  <si>
    <t>Ｗ×</t>
    <phoneticPr fontId="2"/>
  </si>
  <si>
    <t>枚</t>
    <rPh sb="0" eb="1">
      <t>マイ</t>
    </rPh>
    <phoneticPr fontId="2"/>
  </si>
  <si>
    <t>型式</t>
    <rPh sb="0" eb="2">
      <t>カタシキ</t>
    </rPh>
    <phoneticPr fontId="2"/>
  </si>
  <si>
    <t>設置機器</t>
    <rPh sb="0" eb="2">
      <t>セッチ</t>
    </rPh>
    <rPh sb="2" eb="4">
      <t>キキ</t>
    </rPh>
    <phoneticPr fontId="2"/>
  </si>
  <si>
    <t>内窓設置</t>
    <rPh sb="0" eb="2">
      <t>ウチマド</t>
    </rPh>
    <rPh sb="2" eb="4">
      <t>セッチ</t>
    </rPh>
    <phoneticPr fontId="2"/>
  </si>
  <si>
    <t>外窓交換</t>
    <rPh sb="0" eb="1">
      <t>ソト</t>
    </rPh>
    <rPh sb="1" eb="2">
      <t>マド</t>
    </rPh>
    <rPh sb="2" eb="4">
      <t>コウカン</t>
    </rPh>
    <phoneticPr fontId="2"/>
  </si>
  <si>
    <t>窓ガラス交換</t>
    <rPh sb="0" eb="1">
      <t>マド</t>
    </rPh>
    <rPh sb="4" eb="6">
      <t>コウカン</t>
    </rPh>
    <phoneticPr fontId="2"/>
  </si>
  <si>
    <t>勝手口ドア交換</t>
    <rPh sb="0" eb="3">
      <t>カッテグチ</t>
    </rPh>
    <rPh sb="5" eb="7">
      <t>コウカン</t>
    </rPh>
    <phoneticPr fontId="2"/>
  </si>
  <si>
    <t>玄関ドア交換</t>
    <rPh sb="0" eb="2">
      <t>ゲンカン</t>
    </rPh>
    <rPh sb="4" eb="6">
      <t>コウカン</t>
    </rPh>
    <phoneticPr fontId="2"/>
  </si>
  <si>
    <t>箇所数</t>
    <rPh sb="0" eb="2">
      <t>カショ</t>
    </rPh>
    <rPh sb="2" eb="3">
      <t>スウ</t>
    </rPh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</si>
  <si>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</si>
  <si>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</si>
  <si>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金額Ａ</t>
    <rPh sb="0" eb="2">
      <t>キンガク</t>
    </rPh>
    <phoneticPr fontId="2"/>
  </si>
  <si>
    <t>小計</t>
    <rPh sb="0" eb="2">
      <t>ショウケイ</t>
    </rPh>
    <phoneticPr fontId="2"/>
  </si>
  <si>
    <t>小6,000、中15,000、大30,000</t>
    <rPh sb="0" eb="1">
      <t>ショウ</t>
    </rPh>
    <rPh sb="7" eb="8">
      <t>チュウ</t>
    </rPh>
    <rPh sb="15" eb="16">
      <t>ダイ</t>
    </rPh>
    <phoneticPr fontId="2"/>
  </si>
  <si>
    <t>小9,000、中31,000、大65,000</t>
    <rPh sb="0" eb="1">
      <t>ショウ</t>
    </rPh>
    <rPh sb="7" eb="8">
      <t>チュウ</t>
    </rPh>
    <rPh sb="15" eb="16">
      <t>ダイ</t>
    </rPh>
    <phoneticPr fontId="2"/>
  </si>
  <si>
    <t>小4,000、中10,000、大16,000</t>
    <rPh sb="0" eb="1">
      <t>ショウ</t>
    </rPh>
    <rPh sb="7" eb="8">
      <t>チュウ</t>
    </rPh>
    <rPh sb="15" eb="16">
      <t>ダイ</t>
    </rPh>
    <phoneticPr fontId="2"/>
  </si>
  <si>
    <t>　　⑵　ＬＥＤ照明器具</t>
    <rPh sb="9" eb="10">
      <t>グ</t>
    </rPh>
    <phoneticPr fontId="2"/>
  </si>
  <si>
    <t>　　⑴　開口部の断熱改修</t>
    <rPh sb="4" eb="7">
      <t>カイコウブ</t>
    </rPh>
    <rPh sb="8" eb="10">
      <t>ダンネツ</t>
    </rPh>
    <rPh sb="10" eb="12">
      <t>カイシュウ</t>
    </rPh>
    <phoneticPr fontId="2"/>
  </si>
  <si>
    <t>光束(ルーメン)合計</t>
    <rPh sb="0" eb="2">
      <t>コウソク</t>
    </rPh>
    <rPh sb="8" eb="10">
      <t>ゴウケイ</t>
    </rPh>
    <phoneticPr fontId="2"/>
  </si>
  <si>
    <t>lm</t>
    <phoneticPr fontId="2"/>
  </si>
  <si>
    <t>金額Ｂ</t>
    <rPh sb="0" eb="2">
      <t>キンガク</t>
    </rPh>
    <phoneticPr fontId="2"/>
  </si>
  <si>
    <t>　　⑶　高効率給湯器等</t>
    <rPh sb="4" eb="7">
      <t>コウコウリツ</t>
    </rPh>
    <rPh sb="7" eb="10">
      <t>キュウトウキ</t>
    </rPh>
    <rPh sb="10" eb="11">
      <t>トウ</t>
    </rPh>
    <phoneticPr fontId="2"/>
  </si>
  <si>
    <t>基</t>
    <rPh sb="0" eb="1">
      <t>キ</t>
    </rPh>
    <phoneticPr fontId="2"/>
  </si>
  <si>
    <t>基数</t>
    <rPh sb="0" eb="1">
      <t>キ</t>
    </rPh>
    <rPh sb="1" eb="2">
      <t>スウ</t>
    </rPh>
    <phoneticPr fontId="2"/>
  </si>
  <si>
    <t>金額Ｃ</t>
    <rPh sb="0" eb="2">
      <t>キンガク</t>
    </rPh>
    <phoneticPr fontId="2"/>
  </si>
  <si>
    <t>kW</t>
    <phoneticPr fontId="2"/>
  </si>
  <si>
    <t>金額Ｄ</t>
    <rPh sb="0" eb="2">
      <t>キンガク</t>
    </rPh>
    <phoneticPr fontId="2"/>
  </si>
  <si>
    <t>円</t>
    <rPh sb="0" eb="1">
      <t>エン</t>
    </rPh>
    <phoneticPr fontId="2"/>
  </si>
  <si>
    <r>
      <t>(lm)×1.4円</t>
    </r>
    <r>
      <rPr>
        <sz val="7"/>
        <color theme="1"/>
        <rFont val="BIZ UD明朝 Medium"/>
        <family val="1"/>
        <charset val="128"/>
      </rPr>
      <t>(小数点以下を切り捨て)</t>
    </r>
    <rPh sb="8" eb="9">
      <t>エン</t>
    </rPh>
    <rPh sb="10" eb="13">
      <t>ショウスウテン</t>
    </rPh>
    <rPh sb="13" eb="15">
      <t>イカ</t>
    </rPh>
    <rPh sb="16" eb="17">
      <t>キ</t>
    </rPh>
    <rPh sb="18" eb="19">
      <t>ス</t>
    </rPh>
    <phoneticPr fontId="2"/>
  </si>
  <si>
    <r>
      <t>太陽電池の最大出力</t>
    </r>
    <r>
      <rPr>
        <sz val="7"/>
        <color theme="1"/>
        <rFont val="BIZ UD明朝 Medium"/>
        <family val="1"/>
        <charset val="128"/>
      </rPr>
      <t>※小数第3位を四捨五入</t>
    </r>
    <rPh sb="0" eb="2">
      <t>タイヨウ</t>
    </rPh>
    <rPh sb="2" eb="4">
      <t>デンチ</t>
    </rPh>
    <rPh sb="5" eb="7">
      <t>サイダイ</t>
    </rPh>
    <rPh sb="7" eb="9">
      <t>シュツリョク</t>
    </rPh>
    <phoneticPr fontId="2"/>
  </si>
  <si>
    <t>〇</t>
    <phoneticPr fontId="2"/>
  </si>
  <si>
    <t>・</t>
    <phoneticPr fontId="2"/>
  </si>
  <si>
    <t>面積
(㎡)</t>
    <rPh sb="0" eb="2">
      <t>メンセキ</t>
    </rPh>
    <phoneticPr fontId="2"/>
  </si>
  <si>
    <t>高さ
(mm)</t>
    <rPh sb="0" eb="1">
      <t>タカ</t>
    </rPh>
    <phoneticPr fontId="2"/>
  </si>
  <si>
    <t>幅
(mm)</t>
    <rPh sb="0" eb="1">
      <t>ハバ</t>
    </rPh>
    <phoneticPr fontId="2"/>
  </si>
  <si>
    <t>編集不可</t>
    <rPh sb="0" eb="2">
      <t>ヘンシュウ</t>
    </rPh>
    <rPh sb="2" eb="4">
      <t>フカ</t>
    </rPh>
    <phoneticPr fontId="2"/>
  </si>
  <si>
    <t>【注意事項】</t>
    <phoneticPr fontId="2"/>
  </si>
  <si>
    <t>・窓ガラスは引違２枚建てでも１枚ずつの入力が必要です。</t>
    <rPh sb="1" eb="2">
      <t>マド</t>
    </rPh>
    <rPh sb="6" eb="8">
      <t>ヒキチガイ</t>
    </rPh>
    <rPh sb="9" eb="10">
      <t>マイ</t>
    </rPh>
    <rPh sb="10" eb="11">
      <t>ダ</t>
    </rPh>
    <rPh sb="15" eb="16">
      <t>マイ</t>
    </rPh>
    <rPh sb="19" eb="21">
      <t>ニュウリョク</t>
    </rPh>
    <rPh sb="22" eb="24">
      <t>ヒツヨウ</t>
    </rPh>
    <phoneticPr fontId="2"/>
  </si>
  <si>
    <t>・出力時に文字が小さくなりすぎないよう、簡潔に入力してください。</t>
    <rPh sb="1" eb="3">
      <t>シュツリョク</t>
    </rPh>
    <rPh sb="3" eb="4">
      <t>ジ</t>
    </rPh>
    <phoneticPr fontId="2"/>
  </si>
  <si>
    <t>・行や列を加えるなど、シートのレイアウトやセル情報を変更しないでください。</t>
    <rPh sb="1" eb="2">
      <t>ギョウ</t>
    </rPh>
    <rPh sb="3" eb="4">
      <t>レツ</t>
    </rPh>
    <rPh sb="5" eb="6">
      <t>クワ</t>
    </rPh>
    <rPh sb="23" eb="25">
      <t>ジョウホウ</t>
    </rPh>
    <rPh sb="26" eb="28">
      <t>ヘンコウ</t>
    </rPh>
    <phoneticPr fontId="2"/>
  </si>
  <si>
    <t>住宅課使用欄</t>
    <rPh sb="0" eb="2">
      <t>ジュウタク</t>
    </rPh>
    <rPh sb="2" eb="3">
      <t>カ</t>
    </rPh>
    <rPh sb="3" eb="5">
      <t>シヨウ</t>
    </rPh>
    <rPh sb="5" eb="6">
      <t>ラン</t>
    </rPh>
    <phoneticPr fontId="2"/>
  </si>
  <si>
    <t>内窓</t>
    <rPh sb="0" eb="2">
      <t>ウチマド</t>
    </rPh>
    <phoneticPr fontId="2"/>
  </si>
  <si>
    <t>㎡</t>
    <phoneticPr fontId="2"/>
  </si>
  <si>
    <t>外窓</t>
    <rPh sb="0" eb="1">
      <t>ソト</t>
    </rPh>
    <rPh sb="1" eb="2">
      <t>マド</t>
    </rPh>
    <phoneticPr fontId="2"/>
  </si>
  <si>
    <t>窓ガラス</t>
    <rPh sb="0" eb="1">
      <t>マド</t>
    </rPh>
    <phoneticPr fontId="2"/>
  </si>
  <si>
    <t>入力補助シート</t>
    <rPh sb="0" eb="2">
      <t>ニュウリョク</t>
    </rPh>
    <rPh sb="2" eb="4">
      <t>ホジョ</t>
    </rPh>
    <phoneticPr fontId="2"/>
  </si>
  <si>
    <t>Ver.1.0</t>
    <phoneticPr fontId="2"/>
  </si>
  <si>
    <r>
      <t>開口部</t>
    </r>
    <r>
      <rPr>
        <sz val="6"/>
        <color theme="1"/>
        <rFont val="BIZ UD明朝 Medium"/>
        <family val="1"/>
        <charset val="128"/>
      </rPr>
      <t>（面積は小数第２位未満を切り捨て）</t>
    </r>
    <rPh sb="0" eb="3">
      <t>カイコウブ</t>
    </rPh>
    <phoneticPr fontId="2"/>
  </si>
  <si>
    <t>ＬＥＤ</t>
    <phoneticPr fontId="2"/>
  </si>
  <si>
    <t>開口部区分</t>
  </si>
  <si>
    <t>小</t>
  </si>
  <si>
    <t>中</t>
  </si>
  <si>
    <t>大</t>
  </si>
  <si>
    <t>内窓、外窓</t>
  </si>
  <si>
    <r>
      <t>１．７㎡</t>
    </r>
    <r>
      <rPr>
        <sz val="6"/>
        <color rgb="FF000000"/>
        <rFont val="BIZ UD明朝 Medium"/>
        <family val="1"/>
        <charset val="128"/>
      </rPr>
      <t>未満</t>
    </r>
  </si>
  <si>
    <r>
      <t>１．７㎡</t>
    </r>
    <r>
      <rPr>
        <sz val="6"/>
        <color rgb="FF000000"/>
        <rFont val="BIZ UD明朝 Medium"/>
        <family val="1"/>
        <charset val="128"/>
      </rPr>
      <t>以上</t>
    </r>
    <r>
      <rPr>
        <sz val="8"/>
        <color rgb="FF000000"/>
        <rFont val="BIZ UD明朝 Medium"/>
        <family val="1"/>
        <charset val="128"/>
      </rPr>
      <t>３．５㎡</t>
    </r>
    <r>
      <rPr>
        <sz val="6"/>
        <color rgb="FF000000"/>
        <rFont val="BIZ UD明朝 Medium"/>
        <family val="1"/>
        <charset val="128"/>
      </rPr>
      <t>未満</t>
    </r>
  </si>
  <si>
    <r>
      <t>３．５㎡</t>
    </r>
    <r>
      <rPr>
        <sz val="6"/>
        <color rgb="FF000000"/>
        <rFont val="BIZ UD明朝 Medium"/>
        <family val="1"/>
        <charset val="128"/>
      </rPr>
      <t>以上</t>
    </r>
  </si>
  <si>
    <t>窓ガラス</t>
  </si>
  <si>
    <r>
      <t>０．６㎡</t>
    </r>
    <r>
      <rPr>
        <sz val="6"/>
        <color rgb="FF000000"/>
        <rFont val="BIZ UD明朝 Medium"/>
        <family val="1"/>
        <charset val="128"/>
      </rPr>
      <t>未満</t>
    </r>
  </si>
  <si>
    <r>
      <t>０．６㎡</t>
    </r>
    <r>
      <rPr>
        <sz val="6"/>
        <color rgb="FF000000"/>
        <rFont val="BIZ UD明朝 Medium"/>
        <family val="1"/>
        <charset val="128"/>
      </rPr>
      <t>以上</t>
    </r>
    <r>
      <rPr>
        <sz val="8"/>
        <color rgb="FF000000"/>
        <rFont val="BIZ UD明朝 Medium"/>
        <family val="1"/>
        <charset val="128"/>
      </rPr>
      <t>１．２㎡</t>
    </r>
    <r>
      <rPr>
        <sz val="6"/>
        <color rgb="FF000000"/>
        <rFont val="BIZ UD明朝 Medium"/>
        <family val="1"/>
        <charset val="128"/>
      </rPr>
      <t>未満</t>
    </r>
  </si>
  <si>
    <r>
      <t>１．２㎡</t>
    </r>
    <r>
      <rPr>
        <sz val="6"/>
        <color rgb="FF000000"/>
        <rFont val="BIZ UD明朝 Medium"/>
        <family val="1"/>
        <charset val="128"/>
      </rPr>
      <t>以上</t>
    </r>
  </si>
  <si>
    <t>　⑴　開口部の断熱改修、ＬＥＤ照明器具</t>
    <rPh sb="3" eb="6">
      <t>カイコウブ</t>
    </rPh>
    <rPh sb="7" eb="9">
      <t>ダンネツ</t>
    </rPh>
    <rPh sb="9" eb="11">
      <t>カイシュウ</t>
    </rPh>
    <rPh sb="15" eb="17">
      <t>ショウメイ</t>
    </rPh>
    <rPh sb="17" eb="19">
      <t>キグ</t>
    </rPh>
    <phoneticPr fontId="2"/>
  </si>
  <si>
    <t>　⑵　高効率給湯器等</t>
    <rPh sb="3" eb="6">
      <t>コウコウリツ</t>
    </rPh>
    <rPh sb="6" eb="9">
      <t>キュウトウキ</t>
    </rPh>
    <rPh sb="9" eb="10">
      <t>トウ</t>
    </rPh>
    <phoneticPr fontId="2"/>
  </si>
  <si>
    <t>か所</t>
    <rPh sb="1" eb="2">
      <t>ショ</t>
    </rPh>
    <phoneticPr fontId="2"/>
  </si>
  <si>
    <r>
      <t>単価</t>
    </r>
    <r>
      <rPr>
        <sz val="7"/>
        <color theme="1"/>
        <rFont val="BIZ UD明朝 Medium"/>
        <family val="1"/>
        <charset val="128"/>
      </rPr>
      <t>（円/か所又は円/枚）</t>
    </r>
    <rPh sb="0" eb="2">
      <t>タンカ</t>
    </rPh>
    <rPh sb="3" eb="4">
      <t>エン</t>
    </rPh>
    <rPh sb="6" eb="7">
      <t>ショ</t>
    </rPh>
    <rPh sb="7" eb="8">
      <t>マタ</t>
    </rPh>
    <rPh sb="9" eb="10">
      <t>エン</t>
    </rPh>
    <rPh sb="11" eb="12">
      <t>マイ</t>
    </rPh>
    <phoneticPr fontId="2"/>
  </si>
  <si>
    <t>面積にかかわらず、27,000円</t>
    <rPh sb="0" eb="2">
      <t>メンセキ</t>
    </rPh>
    <rPh sb="15" eb="16">
      <t>エン</t>
    </rPh>
    <phoneticPr fontId="2"/>
  </si>
  <si>
    <t>面積にかかわらず、66,000円</t>
    <rPh sb="0" eb="2">
      <t>メンセキ</t>
    </rPh>
    <rPh sb="15" eb="16">
      <t>エン</t>
    </rPh>
    <phoneticPr fontId="2"/>
  </si>
  <si>
    <t>・（様式第９号）の必要事項を入力することで、（様式第１０号）が自動で作成されます。</t>
    <rPh sb="2" eb="5">
      <t>ヨウシキダイ</t>
    </rPh>
    <rPh sb="6" eb="7">
      <t>ゴウ</t>
    </rPh>
    <rPh sb="9" eb="11">
      <t>ヒツヨウ</t>
    </rPh>
    <rPh sb="11" eb="13">
      <t>ジコウ</t>
    </rPh>
    <rPh sb="14" eb="16">
      <t>ニュウリョク</t>
    </rPh>
    <rPh sb="23" eb="25">
      <t>ヨウシキ</t>
    </rPh>
    <rPh sb="25" eb="26">
      <t>ダイ</t>
    </rPh>
    <rPh sb="28" eb="29">
      <t>ゴウ</t>
    </rPh>
    <rPh sb="31" eb="33">
      <t>ジドウ</t>
    </rPh>
    <rPh sb="34" eb="36">
      <t>サクセイ</t>
    </rPh>
    <phoneticPr fontId="2"/>
  </si>
  <si>
    <t>松本市住まいのゼロカーボン推進補助金</t>
    <rPh sb="3" eb="4">
      <t>ス</t>
    </rPh>
    <rPh sb="13" eb="15">
      <t>スイシン</t>
    </rPh>
    <phoneticPr fontId="2"/>
  </si>
  <si>
    <t>様式第９号（別表第３関係）</t>
    <rPh sb="0" eb="2">
      <t>ヨウシキ</t>
    </rPh>
    <rPh sb="2" eb="3">
      <t>ダイ</t>
    </rPh>
    <rPh sb="4" eb="5">
      <t>ゴウ</t>
    </rPh>
    <rPh sb="6" eb="8">
      <t>ベッピョウ</t>
    </rPh>
    <rPh sb="8" eb="9">
      <t>ダイ</t>
    </rPh>
    <rPh sb="10" eb="12">
      <t>カンケイ</t>
    </rPh>
    <phoneticPr fontId="2"/>
  </si>
  <si>
    <t>対象機器等一覧</t>
    <phoneticPr fontId="2"/>
  </si>
  <si>
    <t>創エネ設備（対象住宅：新築住宅・既築住宅）</t>
    <rPh sb="0" eb="1">
      <t>ソウ</t>
    </rPh>
    <rPh sb="3" eb="5">
      <t>セツビ</t>
    </rPh>
    <rPh sb="6" eb="8">
      <t>タイショウ</t>
    </rPh>
    <rPh sb="8" eb="10">
      <t>ジュウタク</t>
    </rPh>
    <rPh sb="11" eb="13">
      <t>シンチク</t>
    </rPh>
    <rPh sb="13" eb="15">
      <t>ジュウタク</t>
    </rPh>
    <rPh sb="16" eb="17">
      <t>キ</t>
    </rPh>
    <rPh sb="17" eb="18">
      <t>チク</t>
    </rPh>
    <rPh sb="18" eb="20">
      <t>ジュウタク</t>
    </rPh>
    <phoneticPr fontId="2"/>
  </si>
  <si>
    <t>　⑴　太陽光発電設備</t>
    <rPh sb="3" eb="6">
      <t>タイヨウコウ</t>
    </rPh>
    <rPh sb="6" eb="8">
      <t>ハツデン</t>
    </rPh>
    <rPh sb="8" eb="10">
      <t>セツビ</t>
    </rPh>
    <phoneticPr fontId="2"/>
  </si>
  <si>
    <t>最大出力と使用枚数</t>
    <rPh sb="0" eb="2">
      <t>サイダイ</t>
    </rPh>
    <rPh sb="2" eb="4">
      <t>シュツリョク</t>
    </rPh>
    <rPh sb="5" eb="7">
      <t>シヨウ</t>
    </rPh>
    <rPh sb="7" eb="9">
      <t>マイスウ</t>
    </rPh>
    <phoneticPr fontId="2"/>
  </si>
  <si>
    <t>　⑵　熱利用設備</t>
    <rPh sb="3" eb="4">
      <t>ネツ</t>
    </rPh>
    <rPh sb="4" eb="6">
      <t>リヨウ</t>
    </rPh>
    <rPh sb="6" eb="8">
      <t>セツビ</t>
    </rPh>
    <phoneticPr fontId="2"/>
  </si>
  <si>
    <t>蓄エネ設備（対象住宅：新築住宅・既築住宅）</t>
    <rPh sb="0" eb="1">
      <t>チク</t>
    </rPh>
    <rPh sb="3" eb="5">
      <t>セツビ</t>
    </rPh>
    <rPh sb="6" eb="8">
      <t>タイショウ</t>
    </rPh>
    <rPh sb="8" eb="10">
      <t>ジュウタク</t>
    </rPh>
    <rPh sb="11" eb="13">
      <t>シンチク</t>
    </rPh>
    <rPh sb="13" eb="15">
      <t>ジュウタク</t>
    </rPh>
    <rPh sb="16" eb="17">
      <t>キ</t>
    </rPh>
    <rPh sb="17" eb="18">
      <t>チク</t>
    </rPh>
    <rPh sb="18" eb="20">
      <t>ジュウタク</t>
    </rPh>
    <phoneticPr fontId="2"/>
  </si>
  <si>
    <t>省エネ設備（対象住宅：既築住宅）</t>
    <rPh sb="0" eb="1">
      <t>ショウ</t>
    </rPh>
    <rPh sb="3" eb="5">
      <t>セツビ</t>
    </rPh>
    <rPh sb="6" eb="8">
      <t>タイショウ</t>
    </rPh>
    <rPh sb="8" eb="10">
      <t>ジュウタク</t>
    </rPh>
    <rPh sb="11" eb="12">
      <t>キ</t>
    </rPh>
    <rPh sb="12" eb="13">
      <t>チク</t>
    </rPh>
    <rPh sb="13" eb="15">
      <t>ジュウタク</t>
    </rPh>
    <phoneticPr fontId="2"/>
  </si>
  <si>
    <t>メーカー</t>
    <phoneticPr fontId="2"/>
  </si>
  <si>
    <t>型式</t>
    <rPh sb="0" eb="2">
      <t>カタシキ</t>
    </rPh>
    <phoneticPr fontId="2"/>
  </si>
  <si>
    <t>電気自動車等充給電設備（Ｖ２Ｈ）</t>
    <rPh sb="0" eb="2">
      <t>デンキ</t>
    </rPh>
    <rPh sb="2" eb="5">
      <t>ジドウシャ</t>
    </rPh>
    <rPh sb="5" eb="6">
      <t>トウ</t>
    </rPh>
    <rPh sb="6" eb="7">
      <t>ジュウ</t>
    </rPh>
    <rPh sb="7" eb="9">
      <t>キュウデン</t>
    </rPh>
    <rPh sb="9" eb="11">
      <t>セツビ</t>
    </rPh>
    <phoneticPr fontId="2"/>
  </si>
  <si>
    <t>電気自動車</t>
    <rPh sb="0" eb="2">
      <t>デンキ</t>
    </rPh>
    <rPh sb="2" eb="5">
      <t>ジドウシャ</t>
    </rPh>
    <phoneticPr fontId="2"/>
  </si>
  <si>
    <t>定置型蓄電設備</t>
    <rPh sb="0" eb="2">
      <t>テイチ</t>
    </rPh>
    <rPh sb="2" eb="3">
      <t>ガタ</t>
    </rPh>
    <rPh sb="3" eb="5">
      <t>チクデン</t>
    </rPh>
    <rPh sb="5" eb="7">
      <t>セツビ</t>
    </rPh>
    <phoneticPr fontId="2"/>
  </si>
  <si>
    <t>光束(lm)</t>
    <rPh sb="0" eb="2">
      <t>コウソク</t>
    </rPh>
    <phoneticPr fontId="2"/>
  </si>
  <si>
    <t>補助金算定表</t>
    <phoneticPr fontId="2"/>
  </si>
  <si>
    <t>様式第１０号（別表第３関係）</t>
    <rPh sb="0" eb="2">
      <t>ヨウシキ</t>
    </rPh>
    <rPh sb="2" eb="3">
      <t>ダイ</t>
    </rPh>
    <rPh sb="5" eb="6">
      <t>ゴウ</t>
    </rPh>
    <rPh sb="7" eb="9">
      <t>ベッピョウ</t>
    </rPh>
    <rPh sb="9" eb="10">
      <t>ダイ</t>
    </rPh>
    <rPh sb="11" eb="13">
      <t>カンケイ</t>
    </rPh>
    <phoneticPr fontId="2"/>
  </si>
  <si>
    <t>(kW)×50,000円</t>
    <rPh sb="11" eb="12">
      <t>エン</t>
    </rPh>
    <phoneticPr fontId="2"/>
  </si>
  <si>
    <t>　創エネ設備（対象：新築住宅・既築住宅）</t>
    <rPh sb="1" eb="2">
      <t>ソウ</t>
    </rPh>
    <rPh sb="4" eb="6">
      <t>セツビ</t>
    </rPh>
    <rPh sb="7" eb="9">
      <t>タイショウ</t>
    </rPh>
    <rPh sb="10" eb="12">
      <t>シンチク</t>
    </rPh>
    <rPh sb="12" eb="14">
      <t>ジュウタク</t>
    </rPh>
    <rPh sb="15" eb="16">
      <t>キ</t>
    </rPh>
    <rPh sb="16" eb="17">
      <t>チク</t>
    </rPh>
    <rPh sb="17" eb="19">
      <t>ジュウタク</t>
    </rPh>
    <phoneticPr fontId="2"/>
  </si>
  <si>
    <r>
      <t>太陽光発電設備申請額①：金額Ａ</t>
    </r>
    <r>
      <rPr>
        <sz val="8"/>
        <color theme="1"/>
        <rFont val="BIZ UD明朝 Medium"/>
        <family val="1"/>
        <charset val="128"/>
      </rPr>
      <t>（ただし、上限200,000円、千円未満を切り捨て）</t>
    </r>
    <rPh sb="0" eb="3">
      <t>タイヨウコウ</t>
    </rPh>
    <rPh sb="3" eb="5">
      <t>ハツデン</t>
    </rPh>
    <rPh sb="5" eb="7">
      <t>セツビ</t>
    </rPh>
    <rPh sb="7" eb="9">
      <t>シンセイ</t>
    </rPh>
    <rPh sb="9" eb="10">
      <t>ガク</t>
    </rPh>
    <rPh sb="12" eb="14">
      <t>キンガク</t>
    </rPh>
    <rPh sb="20" eb="22">
      <t>ジョウゲン</t>
    </rPh>
    <rPh sb="29" eb="30">
      <t>エン</t>
    </rPh>
    <rPh sb="31" eb="33">
      <t>センエン</t>
    </rPh>
    <rPh sb="33" eb="35">
      <t>ミマン</t>
    </rPh>
    <rPh sb="36" eb="37">
      <t>キ</t>
    </rPh>
    <rPh sb="38" eb="39">
      <t>ス</t>
    </rPh>
    <phoneticPr fontId="2"/>
  </si>
  <si>
    <t>小計</t>
    <rPh sb="0" eb="2">
      <t>ショウケイ</t>
    </rPh>
    <phoneticPr fontId="2"/>
  </si>
  <si>
    <t>円</t>
    <rPh sb="0" eb="1">
      <t>エン</t>
    </rPh>
    <phoneticPr fontId="2"/>
  </si>
  <si>
    <t>基数</t>
    <rPh sb="0" eb="2">
      <t>キスウ</t>
    </rPh>
    <phoneticPr fontId="2"/>
  </si>
  <si>
    <t>設置機器（単価）</t>
    <rPh sb="0" eb="2">
      <t>セッチ</t>
    </rPh>
    <rPh sb="2" eb="4">
      <t>キキ</t>
    </rPh>
    <rPh sb="5" eb="7">
      <t>タンカ</t>
    </rPh>
    <phoneticPr fontId="2"/>
  </si>
  <si>
    <t>設置機器（単価）</t>
    <phoneticPr fontId="2"/>
  </si>
  <si>
    <t>基</t>
    <rPh sb="0" eb="1">
      <t>キ</t>
    </rPh>
    <phoneticPr fontId="2"/>
  </si>
  <si>
    <t>熱利用設備申請額②（上限200,000円）</t>
    <rPh sb="0" eb="1">
      <t>ネツ</t>
    </rPh>
    <rPh sb="1" eb="3">
      <t>リヨウ</t>
    </rPh>
    <rPh sb="3" eb="5">
      <t>セツビ</t>
    </rPh>
    <rPh sb="5" eb="7">
      <t>シンセイ</t>
    </rPh>
    <rPh sb="7" eb="8">
      <t>ガク</t>
    </rPh>
    <rPh sb="10" eb="12">
      <t>ジョウゲン</t>
    </rPh>
    <rPh sb="19" eb="20">
      <t>エン</t>
    </rPh>
    <phoneticPr fontId="2"/>
  </si>
  <si>
    <t>　蓄エネ設備（対象：新築住宅・既築住宅）</t>
    <rPh sb="1" eb="2">
      <t>チク</t>
    </rPh>
    <rPh sb="4" eb="6">
      <t>セツビ</t>
    </rPh>
    <rPh sb="7" eb="9">
      <t>タイショウ</t>
    </rPh>
    <rPh sb="10" eb="12">
      <t>シンチク</t>
    </rPh>
    <rPh sb="12" eb="14">
      <t>ジュウタク</t>
    </rPh>
    <rPh sb="15" eb="16">
      <t>キ</t>
    </rPh>
    <rPh sb="16" eb="17">
      <t>チク</t>
    </rPh>
    <rPh sb="17" eb="19">
      <t>ジュウタク</t>
    </rPh>
    <phoneticPr fontId="2"/>
  </si>
  <si>
    <t>定置型蓄電池申請額③(200,000円)</t>
    <rPh sb="6" eb="8">
      <t>シンセイ</t>
    </rPh>
    <rPh sb="8" eb="9">
      <t>ガク</t>
    </rPh>
    <rPh sb="18" eb="19">
      <t>エン</t>
    </rPh>
    <phoneticPr fontId="2"/>
  </si>
  <si>
    <t>電気自動車申請額④(200,000円)</t>
    <rPh sb="0" eb="2">
      <t>デンキ</t>
    </rPh>
    <rPh sb="2" eb="5">
      <t>ジドウシャ</t>
    </rPh>
    <phoneticPr fontId="2"/>
  </si>
  <si>
    <t>↑</t>
    <phoneticPr fontId="2"/>
  </si>
  <si>
    <t>設置又は購入した機器に「〇」を記入</t>
    <rPh sb="0" eb="2">
      <t>セッチ</t>
    </rPh>
    <rPh sb="2" eb="3">
      <t>マタ</t>
    </rPh>
    <rPh sb="4" eb="6">
      <t>コウニュウ</t>
    </rPh>
    <rPh sb="8" eb="10">
      <t>キキ</t>
    </rPh>
    <rPh sb="15" eb="17">
      <t>キニュウ</t>
    </rPh>
    <phoneticPr fontId="2"/>
  </si>
  <si>
    <t>　省エネ設備（対象：既築住宅）</t>
    <rPh sb="1" eb="2">
      <t>ショウ</t>
    </rPh>
    <rPh sb="4" eb="6">
      <t>セツビ</t>
    </rPh>
    <rPh sb="7" eb="9">
      <t>タイショウ</t>
    </rPh>
    <rPh sb="10" eb="11">
      <t>キ</t>
    </rPh>
    <rPh sb="11" eb="12">
      <t>チク</t>
    </rPh>
    <rPh sb="12" eb="14">
      <t>ジュウタク</t>
    </rPh>
    <phoneticPr fontId="2"/>
  </si>
  <si>
    <t>設備機器(単価)</t>
    <rPh sb="0" eb="2">
      <t>セツビ</t>
    </rPh>
    <rPh sb="2" eb="4">
      <t>キキ</t>
    </rPh>
    <rPh sb="5" eb="7">
      <t>タンカ</t>
    </rPh>
    <phoneticPr fontId="2"/>
  </si>
  <si>
    <t>補助金申請額　合計　①＋②＋③＋④＋⑤＋⑥</t>
    <rPh sb="0" eb="6">
      <t>ホジョキンシンセイガク</t>
    </rPh>
    <rPh sb="7" eb="9">
      <t>ゴウケイ</t>
    </rPh>
    <phoneticPr fontId="2"/>
  </si>
  <si>
    <t>太陽熱利用(自然循環型)
(40,000円/基)</t>
    <rPh sb="0" eb="3">
      <t>タイヨウネツ</t>
    </rPh>
    <rPh sb="3" eb="5">
      <t>リヨウ</t>
    </rPh>
    <rPh sb="6" eb="8">
      <t>シゼン</t>
    </rPh>
    <rPh sb="8" eb="11">
      <t>ジュンカンガタ</t>
    </rPh>
    <rPh sb="20" eb="21">
      <t>エン</t>
    </rPh>
    <rPh sb="22" eb="23">
      <t>キ</t>
    </rPh>
    <phoneticPr fontId="2"/>
  </si>
  <si>
    <t>太陽熱利用(強制循環型)
(80,000円/基)</t>
    <rPh sb="0" eb="3">
      <t>タイヨウネツ</t>
    </rPh>
    <rPh sb="3" eb="5">
      <t>リヨウ</t>
    </rPh>
    <rPh sb="6" eb="8">
      <t>キョウセイ</t>
    </rPh>
    <rPh sb="8" eb="11">
      <t>ジュンカンガタ</t>
    </rPh>
    <rPh sb="20" eb="21">
      <t>エン</t>
    </rPh>
    <rPh sb="22" eb="23">
      <t>キ</t>
    </rPh>
    <phoneticPr fontId="2"/>
  </si>
  <si>
    <t>地中熱利用設備
(200,000円/基)</t>
    <rPh sb="0" eb="2">
      <t>チチュウ</t>
    </rPh>
    <rPh sb="2" eb="3">
      <t>ネツ</t>
    </rPh>
    <rPh sb="3" eb="5">
      <t>リヨウ</t>
    </rPh>
    <rPh sb="5" eb="7">
      <t>セツビ</t>
    </rPh>
    <rPh sb="16" eb="17">
      <t>エン</t>
    </rPh>
    <rPh sb="18" eb="19">
      <t>キ</t>
    </rPh>
    <phoneticPr fontId="2"/>
  </si>
  <si>
    <t xml:space="preserve"> ⑴　定置型蓄電池</t>
    <rPh sb="3" eb="5">
      <t>テイチ</t>
    </rPh>
    <rPh sb="5" eb="6">
      <t>ガタ</t>
    </rPh>
    <rPh sb="6" eb="9">
      <t>チクデンチ</t>
    </rPh>
    <phoneticPr fontId="2"/>
  </si>
  <si>
    <t xml:space="preserve"> ⑵　電気自動車</t>
    <rPh sb="3" eb="5">
      <t>デンキ</t>
    </rPh>
    <rPh sb="5" eb="8">
      <t>ジドウシャ</t>
    </rPh>
    <phoneticPr fontId="2"/>
  </si>
  <si>
    <t xml:space="preserve"> ⑶　電気自動車等充給電設備(Ｖ２Ｈ)</t>
    <rPh sb="3" eb="5">
      <t>デンキ</t>
    </rPh>
    <rPh sb="5" eb="8">
      <t>ジドウシャ</t>
    </rPh>
    <rPh sb="8" eb="9">
      <t>トウ</t>
    </rPh>
    <rPh sb="9" eb="10">
      <t>ジュウ</t>
    </rPh>
    <rPh sb="10" eb="12">
      <t>キュウデン</t>
    </rPh>
    <rPh sb="12" eb="14">
      <t>セツビ</t>
    </rPh>
    <phoneticPr fontId="2"/>
  </si>
  <si>
    <t>電気自動車等充給電設備(Ｖ２Ｈ)申請額⑤
(200,000円)</t>
    <rPh sb="16" eb="18">
      <t>シンセイ</t>
    </rPh>
    <rPh sb="18" eb="19">
      <t>ガク</t>
    </rPh>
    <rPh sb="29" eb="30">
      <t>エン</t>
    </rPh>
    <phoneticPr fontId="2"/>
  </si>
  <si>
    <t>エコキュート
(100,000円/基)</t>
    <rPh sb="15" eb="16">
      <t>エン</t>
    </rPh>
    <rPh sb="17" eb="18">
      <t>キ</t>
    </rPh>
    <phoneticPr fontId="2"/>
  </si>
  <si>
    <t>エコジョーズ
(40,000円/基)</t>
    <phoneticPr fontId="2"/>
  </si>
  <si>
    <t>エコフィール
(50,000円/基)</t>
    <phoneticPr fontId="2"/>
  </si>
  <si>
    <t>エネファーム
(200,000円/基)</t>
    <phoneticPr fontId="2"/>
  </si>
  <si>
    <t>ハイブリッド給湯器
(80,000円/基)</t>
    <rPh sb="6" eb="9">
      <t>キュウトウキ</t>
    </rPh>
    <phoneticPr fontId="2"/>
  </si>
  <si>
    <r>
      <t>省エネ設備申請額⑥：金額Ｂ+金額Ｃ+金額Ｄ</t>
    </r>
    <r>
      <rPr>
        <sz val="8"/>
        <color theme="1"/>
        <rFont val="BIZ UD明朝 Medium"/>
        <family val="1"/>
        <charset val="128"/>
      </rPr>
      <t>(ただし、上限200,000円、千円未満を切り捨て)</t>
    </r>
    <rPh sb="0" eb="1">
      <t>ショウ</t>
    </rPh>
    <rPh sb="3" eb="5">
      <t>セツビ</t>
    </rPh>
    <rPh sb="5" eb="7">
      <t>シンセイ</t>
    </rPh>
    <rPh sb="7" eb="8">
      <t>ガク</t>
    </rPh>
    <rPh sb="10" eb="12">
      <t>キンガク</t>
    </rPh>
    <rPh sb="14" eb="16">
      <t>キンガク</t>
    </rPh>
    <rPh sb="18" eb="20">
      <t>キンガク</t>
    </rPh>
    <rPh sb="26" eb="28">
      <t>ジョウゲン</t>
    </rPh>
    <rPh sb="35" eb="36">
      <t>エン</t>
    </rPh>
    <rPh sb="37" eb="39">
      <t>センエン</t>
    </rPh>
    <rPh sb="39" eb="41">
      <t>ミマン</t>
    </rPh>
    <rPh sb="42" eb="43">
      <t>キ</t>
    </rPh>
    <rPh sb="44" eb="45">
      <t>ス</t>
    </rPh>
    <phoneticPr fontId="2"/>
  </si>
  <si>
    <t>　
　必要事項を入力することで、一部の項目が自動入力され、手書き（手入力）よりも簡単に様式第９号及び第１０号の作成が可能です。
　作成した書類は補助金の申請書類としてご使用いただけます。
　ただし、以下のケースには対応していないため、手書き（手入力）で作成してください。
　開口部／ＬＥＤ・・・申請箇所が２０箇所を超える場合
　給湯器／熱利用設備・複数台申請する場合
　太陽光　　　　・・・モジュールが３種類以上の場合
　ご使用にあたっては、以下の注意事項をご確認ください。</t>
    <rPh sb="3" eb="5">
      <t>ヒツヨウ</t>
    </rPh>
    <rPh sb="5" eb="7">
      <t>ジコウ</t>
    </rPh>
    <rPh sb="8" eb="10">
      <t>ニュウリョク</t>
    </rPh>
    <rPh sb="16" eb="18">
      <t>イチブ</t>
    </rPh>
    <rPh sb="19" eb="21">
      <t>コウモク</t>
    </rPh>
    <rPh sb="22" eb="24">
      <t>ジドウ</t>
    </rPh>
    <rPh sb="24" eb="26">
      <t>ニュウリョク</t>
    </rPh>
    <rPh sb="29" eb="31">
      <t>テガ</t>
    </rPh>
    <rPh sb="33" eb="34">
      <t>テ</t>
    </rPh>
    <rPh sb="34" eb="36">
      <t>ニュウリョク</t>
    </rPh>
    <rPh sb="40" eb="42">
      <t>カンタン</t>
    </rPh>
    <rPh sb="48" eb="49">
      <t>オヨ</t>
    </rPh>
    <rPh sb="50" eb="51">
      <t>ダイ</t>
    </rPh>
    <rPh sb="53" eb="54">
      <t>ゴウ</t>
    </rPh>
    <rPh sb="55" eb="57">
      <t>サクセイ</t>
    </rPh>
    <rPh sb="58" eb="60">
      <t>カノウ</t>
    </rPh>
    <rPh sb="66" eb="68">
      <t>サクセイ</t>
    </rPh>
    <rPh sb="70" eb="72">
      <t>ショルイ</t>
    </rPh>
    <rPh sb="73" eb="76">
      <t>ホジョキン</t>
    </rPh>
    <rPh sb="77" eb="79">
      <t>シンセイ</t>
    </rPh>
    <rPh sb="79" eb="81">
      <t>ショルイ</t>
    </rPh>
    <rPh sb="85" eb="87">
      <t>シヨウ</t>
    </rPh>
    <rPh sb="101" eb="103">
      <t>イカ</t>
    </rPh>
    <rPh sb="109" eb="111">
      <t>タイオウ</t>
    </rPh>
    <rPh sb="119" eb="121">
      <t>テガ</t>
    </rPh>
    <rPh sb="123" eb="124">
      <t>テ</t>
    </rPh>
    <rPh sb="124" eb="126">
      <t>ニュウリョク</t>
    </rPh>
    <rPh sb="128" eb="130">
      <t>サクセイ</t>
    </rPh>
    <rPh sb="139" eb="142">
      <t>カイコウブ</t>
    </rPh>
    <rPh sb="149" eb="151">
      <t>シンセイ</t>
    </rPh>
    <rPh sb="151" eb="153">
      <t>カショ</t>
    </rPh>
    <rPh sb="156" eb="158">
      <t>カショ</t>
    </rPh>
    <rPh sb="159" eb="160">
      <t>コ</t>
    </rPh>
    <rPh sb="162" eb="164">
      <t>バアイ</t>
    </rPh>
    <rPh sb="166" eb="169">
      <t>キュウトウキ</t>
    </rPh>
    <rPh sb="170" eb="171">
      <t>ネツ</t>
    </rPh>
    <rPh sb="171" eb="173">
      <t>リヨウ</t>
    </rPh>
    <rPh sb="173" eb="175">
      <t>セツビ</t>
    </rPh>
    <rPh sb="176" eb="178">
      <t>フクスウ</t>
    </rPh>
    <rPh sb="178" eb="179">
      <t>ダイ</t>
    </rPh>
    <rPh sb="179" eb="181">
      <t>シンセイ</t>
    </rPh>
    <rPh sb="183" eb="185">
      <t>バアイ</t>
    </rPh>
    <rPh sb="187" eb="190">
      <t>タイヨウコウ</t>
    </rPh>
    <rPh sb="204" eb="206">
      <t>シュルイ</t>
    </rPh>
    <rPh sb="206" eb="208">
      <t>イジョウ</t>
    </rPh>
    <rPh sb="209" eb="211">
      <t>バアイ</t>
    </rPh>
    <rPh sb="215" eb="217">
      <t>シヨウ</t>
    </rPh>
    <rPh sb="224" eb="226">
      <t>イカ</t>
    </rPh>
    <rPh sb="227" eb="229">
      <t>チュウイ</t>
    </rPh>
    <rPh sb="229" eb="231">
      <t>ジコウ</t>
    </rPh>
    <rPh sb="233" eb="235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</si>
</sst>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_ "/>
    <numFmt numFmtId="178" formatCode="0.00_ "/>
    <numFmt numFmtId="179" formatCode="#,##0_);[Red]\(#,##0\)"/>
  </numFmts>
  <fonts count="14">
    <font>
      <sz val="11"/>
      <color theme="1"/>
      <name val="Yu Gothic"/>
      <family val="2"/>
      <scheme val="minor"/>
    </font>
    <font>
      <sz val="10"/>
      <color theme="1"/>
      <name val="BIZ UDゴシック"/>
      <family val="3"/>
      <charset val="128"/>
    </font>
    <font>
      <sz val="6"/>
      <name val="Yu Gothic"/>
      <family val="3"/>
      <charset val="128"/>
      <scheme val="minor"/>
    </font>
    <font>
      <sz val="10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8"/>
      <color rgb="FF000000"/>
      <name val="BIZ UD明朝 Medium"/>
      <family val="1"/>
      <charset val="128"/>
    </font>
    <font>
      <sz val="6"/>
      <color rgb="FF000000"/>
      <name val="BIZ UD明朝 Medium"/>
      <family val="1"/>
      <charset val="128"/>
    </font>
    <font>
      <sz val="11"/>
      <color theme="1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right"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right" vertical="center"/>
    </xf>
    <xf numFmtId="0" fontId="10" fillId="6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 textRotation="255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176" fontId="3" fillId="3" borderId="12" xfId="0" applyNumberFormat="1" applyFont="1" applyFill="1" applyBorder="1" applyAlignment="1" applyProtection="1">
      <alignment horizontal="right" vertical="center"/>
      <protection locked="0"/>
    </xf>
    <xf numFmtId="177" fontId="3" fillId="2" borderId="12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 applyProtection="1">
      <alignment vertical="center"/>
      <protection locked="0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176" fontId="3" fillId="2" borderId="19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top"/>
    </xf>
    <xf numFmtId="3" fontId="3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center"/>
    </xf>
    <xf numFmtId="0" fontId="3" fillId="2" borderId="19" xfId="0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11" fillId="0" borderId="12" xfId="0" applyFont="1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17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176" fontId="3" fillId="3" borderId="19" xfId="0" applyNumberFormat="1" applyFont="1" applyFill="1" applyBorder="1" applyAlignment="1" applyProtection="1">
      <alignment horizontal="center" vertical="center"/>
      <protection locked="0"/>
    </xf>
    <xf numFmtId="176" fontId="3" fillId="3" borderId="20" xfId="0" applyNumberFormat="1" applyFont="1" applyFill="1" applyBorder="1" applyAlignment="1" applyProtection="1">
      <alignment horizontal="center" vertical="center"/>
      <protection locked="0"/>
    </xf>
    <xf numFmtId="176" fontId="3" fillId="3" borderId="11" xfId="0" applyNumberFormat="1" applyFont="1" applyFill="1" applyBorder="1" applyAlignment="1" applyProtection="1">
      <alignment horizontal="center" vertical="center"/>
      <protection locked="0"/>
    </xf>
    <xf numFmtId="3" fontId="3" fillId="2" borderId="30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179" fontId="3" fillId="2" borderId="20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right" vertical="center"/>
    </xf>
    <xf numFmtId="3" fontId="3" fillId="2" borderId="19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176" fontId="3" fillId="2" borderId="12" xfId="0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3" fontId="3" fillId="2" borderId="21" xfId="0" applyNumberFormat="1" applyFont="1" applyFill="1" applyBorder="1" applyAlignment="1">
      <alignment horizontal="right" vertical="center"/>
    </xf>
    <xf numFmtId="3" fontId="3" fillId="2" borderId="22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10" fillId="6" borderId="0" xfId="0" applyFont="1" applyFill="1" applyBorder="1" applyAlignment="1">
      <alignment horizontal="center" vertical="center"/>
    </xf>
    <xf numFmtId="177" fontId="10" fillId="6" borderId="0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" fontId="3" fillId="2" borderId="20" xfId="0" applyNumberFormat="1" applyFont="1" applyFill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78" fontId="3" fillId="2" borderId="22" xfId="0" applyNumberFormat="1" applyFont="1" applyFill="1" applyBorder="1" applyAlignment="1">
      <alignment horizontal="right" vertical="center"/>
    </xf>
    <xf numFmtId="178" fontId="3" fillId="2" borderId="13" xfId="0" applyNumberFormat="1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3" fontId="3" fillId="2" borderId="26" xfId="0" applyNumberFormat="1" applyFont="1" applyFill="1" applyBorder="1" applyAlignment="1">
      <alignment horizontal="right" vertical="center"/>
    </xf>
    <xf numFmtId="3" fontId="3" fillId="2" borderId="27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5" fillId="0" borderId="1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3" fontId="3" fillId="2" borderId="24" xfId="0" applyNumberFormat="1" applyFont="1" applyFill="1" applyBorder="1" applyAlignment="1">
      <alignment horizontal="right" vertical="center"/>
    </xf>
    <xf numFmtId="3" fontId="3" fillId="2" borderId="25" xfId="0" applyNumberFormat="1" applyFont="1" applyFill="1" applyBorder="1" applyAlignment="1">
      <alignment horizontal="righ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B883-A4B6-4ADC-80B6-AC90F48A552F}">
  <dimension ref="A1:J54"/>
  <sheetViews>
    <sheetView tabSelected="1" view="pageBreakPreview" zoomScale="115" zoomScaleNormal="100" zoomScaleSheetLayoutView="115" workbookViewId="0"/>
  </sheetViews>
  <sheetFormatPr defaultRowHeight="14.25"/>
  <cols>
    <col min="1" max="1" width="2.625" style="18" customWidth="1"/>
    <col min="2" max="9" width="9" style="16"/>
    <col min="10" max="10" width="2.625" style="16" customWidth="1"/>
    <col min="11" max="16384" width="9" style="16"/>
  </cols>
  <sheetData>
    <row r="1" spans="2:10" ht="20.100000000000001" customHeight="1">
      <c r="J1" s="20" t="s">
        <v>79</v>
      </c>
    </row>
    <row r="2" spans="2:10" ht="20.100000000000001" customHeight="1">
      <c r="C2" s="85" t="s">
        <v>101</v>
      </c>
      <c r="D2" s="85"/>
      <c r="E2" s="85"/>
      <c r="F2" s="85"/>
      <c r="G2" s="85"/>
      <c r="H2" s="85"/>
    </row>
    <row r="3" spans="2:10" ht="20.100000000000001" customHeight="1">
      <c r="C3" s="86" t="s">
        <v>78</v>
      </c>
      <c r="D3" s="86"/>
      <c r="E3" s="86"/>
      <c r="F3" s="86"/>
      <c r="G3" s="86"/>
      <c r="H3" s="86"/>
    </row>
    <row r="4" spans="2:10" ht="20.100000000000001" customHeight="1">
      <c r="C4" s="18"/>
    </row>
    <row r="5" spans="2:10" s="18" customFormat="1" ht="20.100000000000001" customHeight="1">
      <c r="B5" s="88" t="s">
        <v>149</v>
      </c>
      <c r="C5" s="88"/>
      <c r="D5" s="88"/>
      <c r="E5" s="88"/>
      <c r="F5" s="88"/>
      <c r="G5" s="88"/>
      <c r="H5" s="88"/>
      <c r="I5" s="88"/>
    </row>
    <row r="6" spans="2:10" ht="20.100000000000001" customHeight="1">
      <c r="B6" s="88"/>
      <c r="C6" s="88"/>
      <c r="D6" s="88"/>
      <c r="E6" s="88"/>
      <c r="F6" s="88"/>
      <c r="G6" s="88"/>
      <c r="H6" s="88"/>
      <c r="I6" s="88"/>
    </row>
    <row r="7" spans="2:10" ht="20.100000000000001" customHeight="1">
      <c r="B7" s="88"/>
      <c r="C7" s="88"/>
      <c r="D7" s="88"/>
      <c r="E7" s="88"/>
      <c r="F7" s="88"/>
      <c r="G7" s="88"/>
      <c r="H7" s="88"/>
      <c r="I7" s="88"/>
    </row>
    <row r="8" spans="2:10" ht="20.100000000000001" customHeight="1">
      <c r="B8" s="88"/>
      <c r="C8" s="88"/>
      <c r="D8" s="88"/>
      <c r="E8" s="88"/>
      <c r="F8" s="88"/>
      <c r="G8" s="88"/>
      <c r="H8" s="88"/>
      <c r="I8" s="88"/>
    </row>
    <row r="9" spans="2:10" ht="20.100000000000001" customHeight="1">
      <c r="B9" s="88"/>
      <c r="C9" s="88"/>
      <c r="D9" s="88"/>
      <c r="E9" s="88"/>
      <c r="F9" s="88"/>
      <c r="G9" s="88"/>
      <c r="H9" s="88"/>
      <c r="I9" s="88"/>
    </row>
    <row r="10" spans="2:10" ht="20.100000000000001" customHeight="1">
      <c r="B10" s="88"/>
      <c r="C10" s="88"/>
      <c r="D10" s="88"/>
      <c r="E10" s="88"/>
      <c r="F10" s="88"/>
      <c r="G10" s="88"/>
      <c r="H10" s="88"/>
      <c r="I10" s="88"/>
    </row>
    <row r="11" spans="2:10" ht="20.100000000000001" customHeight="1">
      <c r="B11" s="88"/>
      <c r="C11" s="88"/>
      <c r="D11" s="88"/>
      <c r="E11" s="88"/>
      <c r="F11" s="88"/>
      <c r="G11" s="88"/>
      <c r="H11" s="88"/>
      <c r="I11" s="88"/>
    </row>
    <row r="12" spans="2:10" s="18" customFormat="1" ht="20.100000000000001" customHeight="1">
      <c r="B12" s="88"/>
      <c r="C12" s="88"/>
      <c r="D12" s="88"/>
      <c r="E12" s="88"/>
      <c r="F12" s="88"/>
      <c r="G12" s="88"/>
      <c r="H12" s="88"/>
      <c r="I12" s="88"/>
    </row>
    <row r="13" spans="2:10" s="18" customFormat="1" ht="20.100000000000001" customHeight="1">
      <c r="B13" s="88"/>
      <c r="C13" s="88"/>
      <c r="D13" s="88"/>
      <c r="E13" s="88"/>
      <c r="F13" s="88"/>
      <c r="G13" s="88"/>
      <c r="H13" s="88"/>
      <c r="I13" s="88"/>
    </row>
    <row r="14" spans="2:10" s="18" customFormat="1" ht="20.100000000000001" customHeight="1">
      <c r="B14" s="88"/>
      <c r="C14" s="88"/>
      <c r="D14" s="88"/>
      <c r="E14" s="88"/>
      <c r="F14" s="88"/>
      <c r="G14" s="88"/>
      <c r="H14" s="88"/>
      <c r="I14" s="88"/>
    </row>
    <row r="15" spans="2:10" s="18" customFormat="1" ht="20.100000000000001" customHeight="1">
      <c r="B15" s="88"/>
      <c r="C15" s="88"/>
      <c r="D15" s="88"/>
      <c r="E15" s="88"/>
      <c r="F15" s="88"/>
      <c r="G15" s="88"/>
      <c r="H15" s="88"/>
      <c r="I15" s="88"/>
    </row>
    <row r="16" spans="2:10" ht="9.9499999999999993" customHeight="1"/>
    <row r="17" spans="2:9" ht="20.100000000000001" customHeight="1">
      <c r="B17" s="15"/>
      <c r="C17" s="15"/>
      <c r="D17" s="15"/>
      <c r="E17" s="87" t="s">
        <v>69</v>
      </c>
      <c r="F17" s="87"/>
      <c r="G17" s="15"/>
      <c r="H17" s="15"/>
      <c r="I17" s="15"/>
    </row>
    <row r="18" spans="2:9" ht="20.100000000000001" customHeight="1">
      <c r="B18" s="84" t="s">
        <v>100</v>
      </c>
      <c r="C18" s="84"/>
      <c r="D18" s="84"/>
      <c r="E18" s="84"/>
      <c r="F18" s="84"/>
      <c r="G18" s="84"/>
      <c r="H18" s="84"/>
      <c r="I18" s="84"/>
    </row>
    <row r="19" spans="2:9" ht="20.100000000000001" customHeight="1">
      <c r="B19" s="84" t="s">
        <v>72</v>
      </c>
      <c r="C19" s="84"/>
      <c r="D19" s="84"/>
      <c r="E19" s="84"/>
      <c r="F19" s="84"/>
      <c r="G19" s="84"/>
      <c r="H19" s="84"/>
      <c r="I19" s="84"/>
    </row>
    <row r="20" spans="2:9" ht="20.100000000000001" customHeight="1">
      <c r="B20" s="84" t="s">
        <v>70</v>
      </c>
      <c r="C20" s="84"/>
      <c r="D20" s="84"/>
      <c r="E20" s="84"/>
      <c r="F20" s="84"/>
      <c r="G20" s="84"/>
      <c r="H20" s="84"/>
      <c r="I20" s="84"/>
    </row>
    <row r="21" spans="2:9" ht="20.100000000000001" customHeight="1">
      <c r="B21" s="84" t="s">
        <v>71</v>
      </c>
      <c r="C21" s="84"/>
      <c r="D21" s="84"/>
      <c r="E21" s="84"/>
      <c r="F21" s="84"/>
      <c r="G21" s="84"/>
      <c r="H21" s="84"/>
      <c r="I21" s="84"/>
    </row>
    <row r="22" spans="2:9" ht="20.100000000000001" customHeight="1">
      <c r="C22" s="15"/>
      <c r="D22" s="15"/>
      <c r="E22" s="15"/>
      <c r="F22" s="15"/>
      <c r="G22" s="15"/>
      <c r="H22" s="15"/>
      <c r="I22" s="15"/>
    </row>
    <row r="23" spans="2:9" ht="20.100000000000001" customHeight="1">
      <c r="B23" s="3"/>
      <c r="C23" s="15"/>
      <c r="D23" s="15"/>
      <c r="E23" s="15"/>
      <c r="F23" s="15"/>
      <c r="G23" s="15"/>
      <c r="H23" s="15"/>
      <c r="I23" s="15"/>
    </row>
    <row r="24" spans="2:9" ht="20.100000000000001" customHeight="1">
      <c r="B24" s="3"/>
      <c r="C24" s="15"/>
      <c r="D24" s="15"/>
      <c r="E24" s="15"/>
      <c r="F24" s="15"/>
      <c r="G24" s="15"/>
      <c r="H24" s="15"/>
      <c r="I24" s="15"/>
    </row>
    <row r="25" spans="2:9" ht="20.100000000000001" customHeight="1">
      <c r="B25" s="3"/>
      <c r="C25" s="15"/>
      <c r="D25" s="15"/>
      <c r="E25" s="15"/>
      <c r="F25" s="15"/>
      <c r="G25" s="15"/>
      <c r="H25" s="15"/>
      <c r="I25" s="15"/>
    </row>
    <row r="26" spans="2:9" ht="20.100000000000001" customHeight="1">
      <c r="B26" s="3"/>
      <c r="C26" s="15"/>
      <c r="D26" s="15"/>
      <c r="E26" s="15"/>
      <c r="F26" s="15"/>
      <c r="G26" s="15"/>
      <c r="H26" s="15"/>
      <c r="I26" s="15"/>
    </row>
    <row r="27" spans="2:9" ht="20.100000000000001" customHeight="1">
      <c r="B27" s="3"/>
      <c r="C27" s="15"/>
      <c r="D27" s="15"/>
      <c r="E27" s="15"/>
      <c r="F27" s="15"/>
      <c r="G27" s="15"/>
      <c r="H27" s="15"/>
      <c r="I27" s="15"/>
    </row>
    <row r="28" spans="2:9" ht="20.100000000000001" customHeight="1">
      <c r="B28" s="3"/>
      <c r="C28" s="15"/>
      <c r="D28" s="15"/>
      <c r="E28" s="15"/>
      <c r="F28" s="15"/>
      <c r="G28" s="15"/>
      <c r="H28" s="15"/>
      <c r="I28" s="15"/>
    </row>
    <row r="29" spans="2:9" ht="20.100000000000001" customHeight="1">
      <c r="B29" s="3"/>
      <c r="C29" s="15"/>
      <c r="D29" s="15"/>
      <c r="E29" s="15"/>
      <c r="F29" s="15"/>
      <c r="G29" s="15"/>
      <c r="H29" s="15"/>
      <c r="I29" s="15"/>
    </row>
    <row r="30" spans="2:9" ht="20.100000000000001" customHeight="1">
      <c r="B30" s="3"/>
      <c r="C30" s="15"/>
      <c r="D30" s="15"/>
      <c r="E30" s="15"/>
      <c r="F30" s="15"/>
      <c r="G30" s="15"/>
      <c r="H30" s="15"/>
      <c r="I30" s="15"/>
    </row>
    <row r="31" spans="2:9" ht="20.100000000000001" customHeight="1">
      <c r="B31" s="3"/>
      <c r="C31" s="15"/>
      <c r="D31" s="15"/>
      <c r="E31" s="15"/>
      <c r="F31" s="15"/>
      <c r="G31" s="15"/>
      <c r="H31" s="15"/>
      <c r="I31" s="15"/>
    </row>
    <row r="32" spans="2:9" ht="20.100000000000001" customHeight="1">
      <c r="B32" s="3"/>
      <c r="C32" s="15"/>
      <c r="D32" s="15"/>
      <c r="E32" s="15"/>
      <c r="F32" s="15"/>
      <c r="G32" s="15"/>
      <c r="H32" s="15"/>
      <c r="I32" s="15"/>
    </row>
    <row r="33" spans="2:9" ht="20.100000000000001" customHeight="1">
      <c r="B33" s="3"/>
      <c r="C33" s="15"/>
      <c r="D33" s="15"/>
      <c r="E33" s="15"/>
      <c r="F33" s="15"/>
      <c r="G33" s="15"/>
      <c r="H33" s="15"/>
      <c r="I33" s="15"/>
    </row>
    <row r="34" spans="2:9" ht="20.100000000000001" customHeight="1">
      <c r="B34" s="3"/>
      <c r="C34" s="15"/>
      <c r="D34" s="15"/>
      <c r="E34" s="15"/>
      <c r="F34" s="15"/>
      <c r="G34" s="15"/>
      <c r="H34" s="15"/>
      <c r="I34" s="15"/>
    </row>
    <row r="35" spans="2:9" ht="20.100000000000001" customHeight="1">
      <c r="B35" s="3"/>
      <c r="C35" s="15"/>
      <c r="D35" s="15"/>
      <c r="E35" s="15"/>
      <c r="F35" s="15"/>
      <c r="G35" s="15"/>
      <c r="H35" s="15"/>
      <c r="I35" s="15"/>
    </row>
    <row r="36" spans="2:9" ht="20.100000000000001" customHeight="1">
      <c r="B36" s="3"/>
      <c r="C36" s="15"/>
      <c r="D36" s="15"/>
      <c r="E36" s="15"/>
      <c r="F36" s="15"/>
      <c r="G36" s="15"/>
      <c r="H36" s="15"/>
      <c r="I36" s="15"/>
    </row>
    <row r="37" spans="2:9" ht="20.100000000000001" customHeight="1">
      <c r="B37" s="3"/>
      <c r="C37" s="15"/>
      <c r="D37" s="15"/>
      <c r="E37" s="15"/>
      <c r="F37" s="15"/>
      <c r="G37" s="15"/>
      <c r="H37" s="15"/>
      <c r="I37" s="15"/>
    </row>
    <row r="38" spans="2:9" ht="20.100000000000001" customHeight="1">
      <c r="B38" s="17"/>
    </row>
    <row r="39" spans="2:9" ht="20.100000000000001" customHeight="1">
      <c r="B39" s="17"/>
    </row>
    <row r="40" spans="2:9" ht="20.100000000000001" customHeight="1"/>
    <row r="41" spans="2:9" ht="20.100000000000001" customHeight="1"/>
    <row r="42" spans="2:9" ht="20.100000000000001" customHeight="1"/>
    <row r="43" spans="2:9" ht="20.100000000000001" customHeight="1"/>
    <row r="44" spans="2:9" ht="20.100000000000001" customHeight="1"/>
    <row r="45" spans="2:9" ht="20.100000000000001" customHeight="1"/>
    <row r="46" spans="2:9" ht="20.100000000000001" customHeight="1"/>
    <row r="47" spans="2:9" ht="20.100000000000001" customHeight="1"/>
    <row r="48" spans="2: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sheetProtection algorithmName="SHA-512" hashValue="IFI1La51A5STPrIlkRnHDl6deGONc7187BZjbsyVu35AlwcW4wvBD0UpyA3OpspWaVnunamVBqA/CP5vA0FZ5Q==" saltValue="ZThc6FKI9zseNMl0WkhyRQ==" spinCount="100000" sheet="1" objects="1" scenarios="1"/>
  <mergeCells count="8">
    <mergeCell ref="B18:I18"/>
    <mergeCell ref="B19:I19"/>
    <mergeCell ref="B20:I20"/>
    <mergeCell ref="B21:I21"/>
    <mergeCell ref="C2:H2"/>
    <mergeCell ref="C3:H3"/>
    <mergeCell ref="E17:F17"/>
    <mergeCell ref="B5:I1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view="pageBreakPreview" topLeftCell="A31" zoomScale="115" zoomScaleNormal="100" zoomScaleSheetLayoutView="115" workbookViewId="0">
      <selection activeCell="E49" sqref="E49:M49"/>
    </sheetView>
  </sheetViews>
  <sheetFormatPr defaultRowHeight="12"/>
  <cols>
    <col min="1" max="1" width="2.625" style="6" customWidth="1"/>
    <col min="2" max="2" width="3.25" style="7" bestFit="1" customWidth="1"/>
    <col min="3" max="3" width="9.625" style="8" bestFit="1" customWidth="1"/>
    <col min="4" max="5" width="8" style="8" bestFit="1" customWidth="1"/>
    <col min="6" max="7" width="7.625" style="8" customWidth="1"/>
    <col min="8" max="9" width="6.75" style="8" bestFit="1" customWidth="1"/>
    <col min="10" max="10" width="6.375" style="8" bestFit="1" customWidth="1"/>
    <col min="11" max="11" width="5" style="8" bestFit="1" customWidth="1"/>
    <col min="12" max="13" width="4.625" style="8" customWidth="1"/>
    <col min="14" max="14" width="3.25" style="8" customWidth="1"/>
    <col min="15" max="15" width="2.625" style="8" customWidth="1"/>
    <col min="16" max="16" width="9" style="6"/>
    <col min="17" max="16384" width="9" style="8"/>
  </cols>
  <sheetData>
    <row r="1" spans="1:15" ht="15.95" customHeight="1">
      <c r="A1" s="6" t="s">
        <v>102</v>
      </c>
      <c r="B1" s="33"/>
      <c r="F1" s="58" t="s">
        <v>82</v>
      </c>
      <c r="G1" s="89" t="s">
        <v>83</v>
      </c>
      <c r="H1" s="89"/>
      <c r="I1" s="89" t="s">
        <v>84</v>
      </c>
      <c r="J1" s="89"/>
      <c r="K1" s="89"/>
      <c r="L1" s="89" t="s">
        <v>85</v>
      </c>
      <c r="M1" s="89"/>
    </row>
    <row r="2" spans="1:15" ht="15.95" customHeight="1">
      <c r="A2" s="6" t="s">
        <v>103</v>
      </c>
      <c r="B2" s="29"/>
      <c r="F2" s="58" t="s">
        <v>86</v>
      </c>
      <c r="G2" s="89" t="s">
        <v>87</v>
      </c>
      <c r="H2" s="89"/>
      <c r="I2" s="89" t="s">
        <v>88</v>
      </c>
      <c r="J2" s="89"/>
      <c r="K2" s="89"/>
      <c r="L2" s="89" t="s">
        <v>89</v>
      </c>
      <c r="M2" s="89"/>
    </row>
    <row r="3" spans="1:15" ht="15.95" customHeight="1">
      <c r="F3" s="58" t="s">
        <v>90</v>
      </c>
      <c r="G3" s="89" t="s">
        <v>91</v>
      </c>
      <c r="H3" s="89"/>
      <c r="I3" s="89" t="s">
        <v>92</v>
      </c>
      <c r="J3" s="89"/>
      <c r="K3" s="89"/>
      <c r="L3" s="89" t="s">
        <v>93</v>
      </c>
      <c r="M3" s="89"/>
    </row>
    <row r="4" spans="1:15">
      <c r="A4" s="6" t="s">
        <v>104</v>
      </c>
      <c r="O4" s="6"/>
    </row>
    <row r="5" spans="1:15" ht="15.95" customHeight="1">
      <c r="A5" s="6" t="s">
        <v>105</v>
      </c>
      <c r="O5" s="6"/>
    </row>
    <row r="6" spans="1:15" ht="3.95" customHeight="1"/>
    <row r="7" spans="1:15" ht="15.95" customHeight="1">
      <c r="B7" s="97" t="s">
        <v>30</v>
      </c>
      <c r="C7" s="98"/>
      <c r="D7" s="99"/>
      <c r="E7" s="91"/>
      <c r="F7" s="92"/>
      <c r="G7" s="92"/>
      <c r="H7" s="92"/>
      <c r="I7" s="92"/>
      <c r="J7" s="92"/>
      <c r="K7" s="92"/>
      <c r="L7" s="92"/>
      <c r="M7" s="93"/>
    </row>
    <row r="8" spans="1:15" ht="15.95" customHeight="1">
      <c r="B8" s="97" t="s">
        <v>31</v>
      </c>
      <c r="C8" s="98"/>
      <c r="D8" s="99"/>
      <c r="E8" s="91"/>
      <c r="F8" s="92"/>
      <c r="G8" s="92"/>
      <c r="H8" s="92"/>
      <c r="I8" s="49" t="s">
        <v>64</v>
      </c>
      <c r="J8" s="92"/>
      <c r="K8" s="92"/>
      <c r="L8" s="92"/>
      <c r="M8" s="93"/>
    </row>
    <row r="9" spans="1:15" ht="15.95" customHeight="1">
      <c r="B9" s="97" t="s">
        <v>106</v>
      </c>
      <c r="C9" s="98"/>
      <c r="D9" s="99"/>
      <c r="E9" s="45"/>
      <c r="F9" s="46" t="s">
        <v>32</v>
      </c>
      <c r="G9" s="45"/>
      <c r="H9" s="46" t="s">
        <v>33</v>
      </c>
      <c r="I9" s="47" t="s">
        <v>64</v>
      </c>
      <c r="J9" s="45"/>
      <c r="K9" s="46" t="s">
        <v>32</v>
      </c>
      <c r="L9" s="45"/>
      <c r="M9" s="48" t="s">
        <v>33</v>
      </c>
    </row>
    <row r="10" spans="1:15" ht="15.95" customHeight="1">
      <c r="A10" s="6" t="s">
        <v>107</v>
      </c>
      <c r="B10" s="63"/>
      <c r="O10" s="6"/>
    </row>
    <row r="11" spans="1:15" ht="3.95" customHeight="1">
      <c r="B11" s="63"/>
    </row>
    <row r="12" spans="1:15" ht="15.95" customHeight="1">
      <c r="B12" s="97" t="s">
        <v>0</v>
      </c>
      <c r="C12" s="98"/>
      <c r="D12" s="99"/>
      <c r="E12" s="100"/>
      <c r="F12" s="101"/>
      <c r="G12" s="101"/>
      <c r="H12" s="101"/>
      <c r="I12" s="101"/>
      <c r="J12" s="101"/>
      <c r="K12" s="101"/>
      <c r="L12" s="101"/>
      <c r="M12" s="102"/>
    </row>
    <row r="13" spans="1:15" ht="15.95" customHeight="1">
      <c r="B13" s="97" t="s">
        <v>2</v>
      </c>
      <c r="C13" s="98"/>
      <c r="D13" s="99"/>
      <c r="E13" s="91"/>
      <c r="F13" s="92"/>
      <c r="G13" s="92"/>
      <c r="H13" s="92"/>
      <c r="I13" s="92"/>
      <c r="J13" s="92"/>
      <c r="K13" s="92"/>
      <c r="L13" s="92"/>
      <c r="M13" s="93"/>
    </row>
    <row r="14" spans="1:15" ht="15.95" customHeight="1">
      <c r="B14" s="97" t="s">
        <v>3</v>
      </c>
      <c r="C14" s="98"/>
      <c r="D14" s="99"/>
      <c r="E14" s="107"/>
      <c r="F14" s="108"/>
      <c r="G14" s="108"/>
      <c r="H14" s="108"/>
      <c r="I14" s="108"/>
      <c r="J14" s="108"/>
      <c r="K14" s="108"/>
      <c r="L14" s="108"/>
      <c r="M14" s="109"/>
    </row>
    <row r="15" spans="1:15" ht="15.95" customHeight="1"/>
    <row r="16" spans="1:15">
      <c r="A16" s="6" t="s">
        <v>108</v>
      </c>
      <c r="B16" s="63"/>
      <c r="O16" s="6"/>
    </row>
    <row r="17" spans="1:15" ht="12" customHeight="1">
      <c r="B17" s="106"/>
      <c r="C17" s="106"/>
      <c r="D17" s="95" t="s">
        <v>114</v>
      </c>
      <c r="E17" s="95"/>
      <c r="F17" s="95"/>
      <c r="G17" s="95" t="s">
        <v>113</v>
      </c>
      <c r="H17" s="95"/>
      <c r="I17" s="95" t="s">
        <v>112</v>
      </c>
      <c r="J17" s="95"/>
      <c r="K17" s="95"/>
      <c r="L17" s="95"/>
      <c r="M17" s="95"/>
      <c r="O17" s="6"/>
    </row>
    <row r="18" spans="1:15">
      <c r="B18" s="95" t="s">
        <v>110</v>
      </c>
      <c r="C18" s="95"/>
      <c r="D18" s="90"/>
      <c r="E18" s="90"/>
      <c r="F18" s="90"/>
      <c r="G18" s="90"/>
      <c r="H18" s="90"/>
      <c r="I18" s="90"/>
      <c r="J18" s="90"/>
      <c r="K18" s="90"/>
      <c r="L18" s="90"/>
      <c r="M18" s="90"/>
      <c r="O18" s="6"/>
    </row>
    <row r="19" spans="1:15">
      <c r="B19" s="95" t="s">
        <v>111</v>
      </c>
      <c r="C19" s="95"/>
      <c r="D19" s="90"/>
      <c r="E19" s="90"/>
      <c r="F19" s="90"/>
      <c r="G19" s="90"/>
      <c r="H19" s="90"/>
      <c r="I19" s="90"/>
      <c r="J19" s="90"/>
      <c r="K19" s="90"/>
      <c r="L19" s="90"/>
      <c r="M19" s="90"/>
      <c r="O19" s="6"/>
    </row>
    <row r="20" spans="1:15" ht="15.95" customHeight="1">
      <c r="B20" s="63"/>
    </row>
    <row r="21" spans="1:15">
      <c r="A21" s="6" t="s">
        <v>109</v>
      </c>
      <c r="B21" s="63"/>
      <c r="O21" s="6"/>
    </row>
    <row r="22" spans="1:15">
      <c r="A22" s="6" t="s">
        <v>94</v>
      </c>
      <c r="B22" s="59"/>
      <c r="O22" s="6"/>
    </row>
    <row r="23" spans="1:15" ht="3.95" customHeight="1"/>
    <row r="24" spans="1:15" ht="18.75" customHeight="1">
      <c r="B24" s="104" t="s">
        <v>28</v>
      </c>
      <c r="C24" s="95" t="s">
        <v>0</v>
      </c>
      <c r="D24" s="95" t="s">
        <v>1</v>
      </c>
      <c r="E24" s="95" t="s">
        <v>2</v>
      </c>
      <c r="F24" s="95" t="s">
        <v>3</v>
      </c>
      <c r="G24" s="95"/>
      <c r="H24" s="95" t="s">
        <v>80</v>
      </c>
      <c r="I24" s="95"/>
      <c r="J24" s="95"/>
      <c r="K24" s="95"/>
      <c r="L24" s="95" t="s">
        <v>81</v>
      </c>
      <c r="M24" s="95"/>
    </row>
    <row r="25" spans="1:15" ht="30" customHeight="1">
      <c r="B25" s="104"/>
      <c r="C25" s="95"/>
      <c r="D25" s="95"/>
      <c r="E25" s="95"/>
      <c r="F25" s="95"/>
      <c r="G25" s="95"/>
      <c r="H25" s="38" t="s">
        <v>67</v>
      </c>
      <c r="I25" s="38" t="s">
        <v>66</v>
      </c>
      <c r="J25" s="38" t="s">
        <v>65</v>
      </c>
      <c r="K25" s="39" t="s">
        <v>5</v>
      </c>
      <c r="L25" s="103" t="s">
        <v>115</v>
      </c>
      <c r="M25" s="95"/>
      <c r="N25" s="36" t="s">
        <v>68</v>
      </c>
    </row>
    <row r="26" spans="1:15" ht="15.95" customHeight="1">
      <c r="B26" s="39">
        <v>1</v>
      </c>
      <c r="C26" s="40"/>
      <c r="D26" s="41"/>
      <c r="E26" s="41"/>
      <c r="F26" s="94"/>
      <c r="G26" s="94"/>
      <c r="H26" s="42"/>
      <c r="I26" s="42"/>
      <c r="J26" s="43">
        <f>ROUNDDOWN(H26*I26*0.000001,2)</f>
        <v>0</v>
      </c>
      <c r="K26" s="44" t="str">
        <f>IF(IFERROR(MATCH(C26,リスト!$C$4:$C$6,0),0)&lt;&gt;0,IF(IFERROR(MATCH(C26,リスト!$C$6,0),0)&lt;&gt;0,VLOOKUP(J26,リスト!$H$4:$I$7,2,TRUE),VLOOKUP(J26,リスト!$E$4:$F$7,2,TRUE)),"-")</f>
        <v>-</v>
      </c>
      <c r="L26" s="96"/>
      <c r="M26" s="96"/>
      <c r="N26" s="37" t="str">
        <f>IF(OR($C26="内窓",$C26="外窓",$C26="窓ガラス",$C26="玄関ドア",$C26="勝手口ドア"),"開","-")</f>
        <v>-</v>
      </c>
    </row>
    <row r="27" spans="1:15" ht="15.95" customHeight="1">
      <c r="B27" s="39">
        <v>2</v>
      </c>
      <c r="C27" s="40"/>
      <c r="D27" s="41"/>
      <c r="E27" s="65"/>
      <c r="F27" s="94"/>
      <c r="G27" s="94"/>
      <c r="H27" s="42"/>
      <c r="I27" s="42"/>
      <c r="J27" s="43">
        <f>ROUNDDOWN(H27*I27*0.000001,2)</f>
        <v>0</v>
      </c>
      <c r="K27" s="44" t="str">
        <f>IF(IFERROR(MATCH(C27,リスト!$C$4:$C$6,0),0)&lt;&gt;0,IF(IFERROR(MATCH(C27,リスト!$C$6,0),0)&lt;&gt;0,VLOOKUP(J27,リスト!$H$4:$I$7,2,TRUE),VLOOKUP(J27,リスト!$E$4:$F$7,2,TRUE)),"-")</f>
        <v>-</v>
      </c>
      <c r="L27" s="96"/>
      <c r="M27" s="96"/>
      <c r="N27" s="37" t="str">
        <f t="shared" ref="N27:N45" si="0">IF(OR($C27="内窓",$C27="外窓",$C27="窓ガラス",$C27="玄関ドア",$C27="勝手口ドア"),"開","-")</f>
        <v>-</v>
      </c>
    </row>
    <row r="28" spans="1:15" ht="15.95" customHeight="1">
      <c r="B28" s="39">
        <v>3</v>
      </c>
      <c r="C28" s="40"/>
      <c r="D28" s="41"/>
      <c r="E28" s="65"/>
      <c r="F28" s="94"/>
      <c r="G28" s="94"/>
      <c r="H28" s="42"/>
      <c r="I28" s="42"/>
      <c r="J28" s="43">
        <f t="shared" ref="J28:J45" si="1">ROUNDDOWN(H28*I28*0.000001,2)</f>
        <v>0</v>
      </c>
      <c r="K28" s="44" t="str">
        <f>IF(IFERROR(MATCH(C28,リスト!$C$4:$C$6,0),0)&lt;&gt;0,IF(IFERROR(MATCH(C28,リスト!$C$6,0),0)&lt;&gt;0,VLOOKUP(J28,リスト!$H$4:$I$7,2,TRUE),VLOOKUP(J28,リスト!$E$4:$F$7,2,TRUE)),"-")</f>
        <v>-</v>
      </c>
      <c r="L28" s="96"/>
      <c r="M28" s="96"/>
      <c r="N28" s="37" t="str">
        <f t="shared" si="0"/>
        <v>-</v>
      </c>
    </row>
    <row r="29" spans="1:15" ht="15.95" customHeight="1">
      <c r="B29" s="39">
        <v>4</v>
      </c>
      <c r="C29" s="40"/>
      <c r="D29" s="41"/>
      <c r="E29" s="41"/>
      <c r="F29" s="94"/>
      <c r="G29" s="94"/>
      <c r="H29" s="42"/>
      <c r="I29" s="42"/>
      <c r="J29" s="43">
        <f>ROUNDDOWN(H29*I29*0.000001,2)</f>
        <v>0</v>
      </c>
      <c r="K29" s="44" t="str">
        <f>IF(IFERROR(MATCH(C29,リスト!$C$4:$C$6,0),0)&lt;&gt;0,IF(IFERROR(MATCH(C29,リスト!$C$6,0),0)&lt;&gt;0,VLOOKUP(J29,リスト!$H$4:$I$7,2,TRUE),VLOOKUP(J29,リスト!$E$4:$F$7,2,TRUE)),"-")</f>
        <v>-</v>
      </c>
      <c r="L29" s="96"/>
      <c r="M29" s="96"/>
      <c r="N29" s="37" t="str">
        <f>IF(OR($C29="内窓",$C29="外窓",$C29="窓ガラス",$C29="玄関ドア",$C29="勝手口ドア"),"開","-")</f>
        <v>-</v>
      </c>
    </row>
    <row r="30" spans="1:15" ht="15.95" customHeight="1">
      <c r="B30" s="39">
        <v>5</v>
      </c>
      <c r="C30" s="40"/>
      <c r="D30" s="41"/>
      <c r="E30" s="41"/>
      <c r="F30" s="94"/>
      <c r="G30" s="94"/>
      <c r="H30" s="42"/>
      <c r="I30" s="42"/>
      <c r="J30" s="43">
        <f t="shared" si="1"/>
        <v>0</v>
      </c>
      <c r="K30" s="44" t="str">
        <f>IF(IFERROR(MATCH(C30,リスト!$C$4:$C$6,0),0)&lt;&gt;0,IF(IFERROR(MATCH(C30,リスト!$C$6,0),0)&lt;&gt;0,VLOOKUP(J30,リスト!$H$4:$I$7,2,TRUE),VLOOKUP(J30,リスト!$E$4:$F$7,2,TRUE)),"-")</f>
        <v>-</v>
      </c>
      <c r="L30" s="96"/>
      <c r="M30" s="96"/>
      <c r="N30" s="37" t="str">
        <f t="shared" si="0"/>
        <v>-</v>
      </c>
    </row>
    <row r="31" spans="1:15" ht="15.95" customHeight="1">
      <c r="B31" s="39">
        <v>6</v>
      </c>
      <c r="C31" s="40"/>
      <c r="D31" s="41"/>
      <c r="E31" s="41"/>
      <c r="F31" s="94"/>
      <c r="G31" s="94"/>
      <c r="H31" s="42"/>
      <c r="I31" s="42"/>
      <c r="J31" s="43">
        <f t="shared" si="1"/>
        <v>0</v>
      </c>
      <c r="K31" s="44" t="str">
        <f>IF(IFERROR(MATCH(C31,リスト!$C$4:$C$6,0),0)&lt;&gt;0,IF(IFERROR(MATCH(C31,リスト!$C$6,0),0)&lt;&gt;0,VLOOKUP(J31,リスト!$H$4:$I$7,2,TRUE),VLOOKUP(J31,リスト!$E$4:$F$7,2,TRUE)),"-")</f>
        <v>-</v>
      </c>
      <c r="L31" s="96"/>
      <c r="M31" s="96"/>
      <c r="N31" s="37" t="str">
        <f t="shared" si="0"/>
        <v>-</v>
      </c>
    </row>
    <row r="32" spans="1:15" ht="15.95" customHeight="1">
      <c r="B32" s="39">
        <v>7</v>
      </c>
      <c r="C32" s="40"/>
      <c r="D32" s="41"/>
      <c r="E32" s="41"/>
      <c r="F32" s="94"/>
      <c r="G32" s="94"/>
      <c r="H32" s="42"/>
      <c r="I32" s="42"/>
      <c r="J32" s="43">
        <f t="shared" si="1"/>
        <v>0</v>
      </c>
      <c r="K32" s="44" t="str">
        <f>IF(IFERROR(MATCH(C32,リスト!$C$4:$C$6,0),0)&lt;&gt;0,IF(IFERROR(MATCH(C32,リスト!$C$6,0),0)&lt;&gt;0,VLOOKUP(J32,リスト!$H$4:$I$7,2,TRUE),VLOOKUP(J32,リスト!$E$4:$F$7,2,TRUE)),"-")</f>
        <v>-</v>
      </c>
      <c r="L32" s="96"/>
      <c r="M32" s="96"/>
      <c r="N32" s="37" t="str">
        <f t="shared" si="0"/>
        <v>-</v>
      </c>
    </row>
    <row r="33" spans="1:15" ht="15.95" customHeight="1">
      <c r="B33" s="39">
        <v>8</v>
      </c>
      <c r="C33" s="40"/>
      <c r="D33" s="41"/>
      <c r="E33" s="41"/>
      <c r="F33" s="94"/>
      <c r="G33" s="94"/>
      <c r="H33" s="42"/>
      <c r="I33" s="42"/>
      <c r="J33" s="43">
        <f t="shared" ref="J33" si="2">ROUNDDOWN(H33*I33*0.000001,2)</f>
        <v>0</v>
      </c>
      <c r="K33" s="44" t="str">
        <f>IF(IFERROR(MATCH(C33,リスト!$C$4:$C$6,0),0)&lt;&gt;0,IF(IFERROR(MATCH(C33,リスト!$C$6,0),0)&lt;&gt;0,VLOOKUP(J33,リスト!$H$4:$I$7,2,TRUE),VLOOKUP(J33,リスト!$E$4:$F$7,2,TRUE)),"-")</f>
        <v>-</v>
      </c>
      <c r="L33" s="96"/>
      <c r="M33" s="96"/>
      <c r="N33" s="37" t="str">
        <f t="shared" si="0"/>
        <v>-</v>
      </c>
    </row>
    <row r="34" spans="1:15" ht="15.95" customHeight="1">
      <c r="B34" s="39">
        <v>9</v>
      </c>
      <c r="C34" s="40"/>
      <c r="D34" s="41"/>
      <c r="E34" s="41"/>
      <c r="F34" s="94"/>
      <c r="G34" s="94"/>
      <c r="H34" s="42"/>
      <c r="I34" s="42"/>
      <c r="J34" s="43">
        <f t="shared" ref="J34" si="3">ROUNDDOWN(H34*I34*0.000001,2)</f>
        <v>0</v>
      </c>
      <c r="K34" s="44" t="str">
        <f>IF(IFERROR(MATCH(C34,リスト!$C$4:$C$6,0),0)&lt;&gt;0,IF(IFERROR(MATCH(C34,リスト!$C$6,0),0)&lt;&gt;0,VLOOKUP(J34,リスト!$H$4:$I$7,2,TRUE),VLOOKUP(J34,リスト!$E$4:$F$7,2,TRUE)),"-")</f>
        <v>-</v>
      </c>
      <c r="L34" s="96"/>
      <c r="M34" s="96"/>
      <c r="N34" s="37" t="str">
        <f t="shared" si="0"/>
        <v>-</v>
      </c>
    </row>
    <row r="35" spans="1:15" ht="15.95" customHeight="1">
      <c r="B35" s="39">
        <v>10</v>
      </c>
      <c r="C35" s="40"/>
      <c r="D35" s="41"/>
      <c r="E35" s="41"/>
      <c r="F35" s="94"/>
      <c r="G35" s="94"/>
      <c r="H35" s="42"/>
      <c r="I35" s="42"/>
      <c r="J35" s="43">
        <f t="shared" si="1"/>
        <v>0</v>
      </c>
      <c r="K35" s="44" t="str">
        <f>IF(IFERROR(MATCH(C35,リスト!$C$4:$C$6,0),0)&lt;&gt;0,IF(IFERROR(MATCH(C35,リスト!$C$6,0),0)&lt;&gt;0,VLOOKUP(J35,リスト!$H$4:$I$7,2,TRUE),VLOOKUP(J35,リスト!$E$4:$F$7,2,TRUE)),"-")</f>
        <v>-</v>
      </c>
      <c r="L35" s="96"/>
      <c r="M35" s="96"/>
      <c r="N35" s="37" t="str">
        <f t="shared" si="0"/>
        <v>-</v>
      </c>
    </row>
    <row r="36" spans="1:15" ht="15.95" customHeight="1">
      <c r="B36" s="39">
        <v>11</v>
      </c>
      <c r="C36" s="40"/>
      <c r="D36" s="41"/>
      <c r="E36" s="41"/>
      <c r="F36" s="94"/>
      <c r="G36" s="94"/>
      <c r="H36" s="42"/>
      <c r="I36" s="42"/>
      <c r="J36" s="43">
        <f t="shared" si="1"/>
        <v>0</v>
      </c>
      <c r="K36" s="44" t="str">
        <f>IF(IFERROR(MATCH(C36,リスト!$C$4:$C$6,0),0)&lt;&gt;0,IF(IFERROR(MATCH(C36,リスト!$C$6,0),0)&lt;&gt;0,VLOOKUP(J36,リスト!$H$4:$I$7,2,TRUE),VLOOKUP(J36,リスト!$E$4:$F$7,2,TRUE)),"-")</f>
        <v>-</v>
      </c>
      <c r="L36" s="96"/>
      <c r="M36" s="96"/>
      <c r="N36" s="37" t="str">
        <f t="shared" si="0"/>
        <v>-</v>
      </c>
    </row>
    <row r="37" spans="1:15" ht="15.95" customHeight="1">
      <c r="B37" s="39">
        <v>12</v>
      </c>
      <c r="C37" s="40"/>
      <c r="D37" s="41"/>
      <c r="E37" s="41"/>
      <c r="F37" s="94"/>
      <c r="G37" s="94"/>
      <c r="H37" s="42"/>
      <c r="I37" s="42"/>
      <c r="J37" s="43">
        <f t="shared" si="1"/>
        <v>0</v>
      </c>
      <c r="K37" s="44" t="str">
        <f>IF(IFERROR(MATCH(C37,リスト!$C$4:$C$6,0),0)&lt;&gt;0,IF(IFERROR(MATCH(C37,リスト!$C$6,0),0)&lt;&gt;0,VLOOKUP(J37,リスト!$H$4:$I$7,2,TRUE),VLOOKUP(J37,リスト!$E$4:$F$7,2,TRUE)),"-")</f>
        <v>-</v>
      </c>
      <c r="L37" s="96"/>
      <c r="M37" s="96"/>
      <c r="N37" s="37" t="str">
        <f t="shared" si="0"/>
        <v>-</v>
      </c>
    </row>
    <row r="38" spans="1:15" ht="15.95" customHeight="1">
      <c r="B38" s="39">
        <v>13</v>
      </c>
      <c r="C38" s="40"/>
      <c r="D38" s="41"/>
      <c r="E38" s="41"/>
      <c r="F38" s="94"/>
      <c r="G38" s="94"/>
      <c r="H38" s="42"/>
      <c r="I38" s="42"/>
      <c r="J38" s="43">
        <f t="shared" si="1"/>
        <v>0</v>
      </c>
      <c r="K38" s="44" t="str">
        <f>IF(IFERROR(MATCH(C38,リスト!$C$4:$C$6,0),0)&lt;&gt;0,IF(IFERROR(MATCH(C38,リスト!$C$6,0),0)&lt;&gt;0,VLOOKUP(J38,リスト!$H$4:$I$7,2,TRUE),VLOOKUP(J38,リスト!$E$4:$F$7,2,TRUE)),"-")</f>
        <v>-</v>
      </c>
      <c r="L38" s="96"/>
      <c r="M38" s="96"/>
      <c r="N38" s="37" t="str">
        <f t="shared" si="0"/>
        <v>-</v>
      </c>
    </row>
    <row r="39" spans="1:15" ht="15.95" customHeight="1">
      <c r="B39" s="39">
        <v>14</v>
      </c>
      <c r="C39" s="40"/>
      <c r="D39" s="41"/>
      <c r="E39" s="41"/>
      <c r="F39" s="94"/>
      <c r="G39" s="94"/>
      <c r="H39" s="42"/>
      <c r="I39" s="42"/>
      <c r="J39" s="43">
        <f t="shared" si="1"/>
        <v>0</v>
      </c>
      <c r="K39" s="44" t="str">
        <f>IF(IFERROR(MATCH(C39,リスト!$C$4:$C$6,0),0)&lt;&gt;0,IF(IFERROR(MATCH(C39,リスト!$C$6,0),0)&lt;&gt;0,VLOOKUP(J39,リスト!$H$4:$I$7,2,TRUE),VLOOKUP(J39,リスト!$E$4:$F$7,2,TRUE)),"-")</f>
        <v>-</v>
      </c>
      <c r="L39" s="96"/>
      <c r="M39" s="96"/>
      <c r="N39" s="37" t="str">
        <f t="shared" si="0"/>
        <v>-</v>
      </c>
    </row>
    <row r="40" spans="1:15" ht="15.95" customHeight="1">
      <c r="B40" s="39">
        <v>15</v>
      </c>
      <c r="C40" s="40"/>
      <c r="D40" s="41"/>
      <c r="E40" s="41"/>
      <c r="F40" s="94"/>
      <c r="G40" s="94"/>
      <c r="H40" s="42"/>
      <c r="I40" s="42"/>
      <c r="J40" s="43">
        <f t="shared" si="1"/>
        <v>0</v>
      </c>
      <c r="K40" s="44" t="str">
        <f>IF(IFERROR(MATCH(C40,リスト!$C$4:$C$6,0),0)&lt;&gt;0,IF(IFERROR(MATCH(C40,リスト!$C$6,0),0)&lt;&gt;0,VLOOKUP(J40,リスト!$H$4:$I$7,2,TRUE),VLOOKUP(J40,リスト!$E$4:$F$7,2,TRUE)),"-")</f>
        <v>-</v>
      </c>
      <c r="L40" s="96"/>
      <c r="M40" s="96"/>
      <c r="N40" s="37" t="str">
        <f t="shared" si="0"/>
        <v>-</v>
      </c>
    </row>
    <row r="41" spans="1:15" ht="15.95" customHeight="1">
      <c r="B41" s="39">
        <v>16</v>
      </c>
      <c r="C41" s="40"/>
      <c r="D41" s="41"/>
      <c r="E41" s="41"/>
      <c r="F41" s="94"/>
      <c r="G41" s="94"/>
      <c r="H41" s="42"/>
      <c r="I41" s="42"/>
      <c r="J41" s="43">
        <f t="shared" si="1"/>
        <v>0</v>
      </c>
      <c r="K41" s="44" t="str">
        <f>IF(IFERROR(MATCH(C41,リスト!$C$4:$C$6,0),0)&lt;&gt;0,IF(IFERROR(MATCH(C41,リスト!$C$6,0),0)&lt;&gt;0,VLOOKUP(J41,リスト!$H$4:$I$7,2,TRUE),VLOOKUP(J41,リスト!$E$4:$F$7,2,TRUE)),"-")</f>
        <v>-</v>
      </c>
      <c r="L41" s="96"/>
      <c r="M41" s="96"/>
      <c r="N41" s="37" t="str">
        <f t="shared" si="0"/>
        <v>-</v>
      </c>
    </row>
    <row r="42" spans="1:15" ht="15.95" customHeight="1">
      <c r="B42" s="39">
        <v>17</v>
      </c>
      <c r="C42" s="40"/>
      <c r="D42" s="41"/>
      <c r="E42" s="41"/>
      <c r="F42" s="94"/>
      <c r="G42" s="94"/>
      <c r="H42" s="42"/>
      <c r="I42" s="42"/>
      <c r="J42" s="43">
        <f t="shared" si="1"/>
        <v>0</v>
      </c>
      <c r="K42" s="44" t="str">
        <f>IF(IFERROR(MATCH(C42,リスト!$C$4:$C$6,0),0)&lt;&gt;0,IF(IFERROR(MATCH(C42,リスト!$C$6,0),0)&lt;&gt;0,VLOOKUP(J42,リスト!$H$4:$I$7,2,TRUE),VLOOKUP(J42,リスト!$E$4:$F$7,2,TRUE)),"-")</f>
        <v>-</v>
      </c>
      <c r="L42" s="96"/>
      <c r="M42" s="96"/>
      <c r="N42" s="37" t="str">
        <f t="shared" si="0"/>
        <v>-</v>
      </c>
    </row>
    <row r="43" spans="1:15" ht="15.95" customHeight="1">
      <c r="B43" s="39">
        <v>18</v>
      </c>
      <c r="C43" s="40"/>
      <c r="D43" s="41"/>
      <c r="E43" s="41"/>
      <c r="F43" s="94"/>
      <c r="G43" s="94"/>
      <c r="H43" s="42"/>
      <c r="I43" s="42"/>
      <c r="J43" s="43">
        <f t="shared" si="1"/>
        <v>0</v>
      </c>
      <c r="K43" s="44" t="str">
        <f>IF(IFERROR(MATCH(C43,リスト!$C$4:$C$6,0),0)&lt;&gt;0,IF(IFERROR(MATCH(C43,リスト!$C$6,0),0)&lt;&gt;0,VLOOKUP(J43,リスト!$H$4:$I$7,2,TRUE),VLOOKUP(J43,リスト!$E$4:$F$7,2,TRUE)),"-")</f>
        <v>-</v>
      </c>
      <c r="L43" s="96"/>
      <c r="M43" s="96"/>
      <c r="N43" s="37" t="str">
        <f t="shared" si="0"/>
        <v>-</v>
      </c>
    </row>
    <row r="44" spans="1:15" ht="15.95" customHeight="1">
      <c r="B44" s="39">
        <v>19</v>
      </c>
      <c r="C44" s="40"/>
      <c r="D44" s="41"/>
      <c r="E44" s="41"/>
      <c r="F44" s="94"/>
      <c r="G44" s="94"/>
      <c r="H44" s="42"/>
      <c r="I44" s="42"/>
      <c r="J44" s="43">
        <f t="shared" si="1"/>
        <v>0</v>
      </c>
      <c r="K44" s="44" t="str">
        <f>IF(IFERROR(MATCH(C44,リスト!$C$4:$C$6,0),0)&lt;&gt;0,IF(IFERROR(MATCH(C44,リスト!$C$6,0),0)&lt;&gt;0,VLOOKUP(J44,リスト!$H$4:$I$7,2,TRUE),VLOOKUP(J44,リスト!$E$4:$F$7,2,TRUE)),"-")</f>
        <v>-</v>
      </c>
      <c r="L44" s="96"/>
      <c r="M44" s="96"/>
      <c r="N44" s="37" t="str">
        <f t="shared" si="0"/>
        <v>-</v>
      </c>
    </row>
    <row r="45" spans="1:15" ht="15.95" customHeight="1">
      <c r="B45" s="39">
        <v>20</v>
      </c>
      <c r="C45" s="40"/>
      <c r="D45" s="41"/>
      <c r="E45" s="41"/>
      <c r="F45" s="94"/>
      <c r="G45" s="94"/>
      <c r="H45" s="42"/>
      <c r="I45" s="42"/>
      <c r="J45" s="43">
        <f t="shared" si="1"/>
        <v>0</v>
      </c>
      <c r="K45" s="44" t="str">
        <f>IF(IFERROR(MATCH(C45,リスト!$C$4:$C$6,0),0)&lt;&gt;0,IF(IFERROR(MATCH(C45,リスト!$C$6,0),0)&lt;&gt;0,VLOOKUP(J45,リスト!$H$4:$I$7,2,TRUE),VLOOKUP(J45,リスト!$E$4:$F$7,2,TRUE)),"-")</f>
        <v>-</v>
      </c>
      <c r="L45" s="96"/>
      <c r="M45" s="96"/>
      <c r="N45" s="37" t="str">
        <f t="shared" si="0"/>
        <v>-</v>
      </c>
    </row>
    <row r="46" spans="1:15" ht="15.95" customHeight="1">
      <c r="C46" s="11"/>
      <c r="J46" s="35"/>
    </row>
    <row r="47" spans="1:15" ht="15.95" customHeight="1">
      <c r="A47" s="6" t="s">
        <v>95</v>
      </c>
      <c r="O47" s="6"/>
    </row>
    <row r="48" spans="1:15" ht="3.95" customHeight="1"/>
    <row r="49" spans="2:13" ht="15.95" customHeight="1">
      <c r="B49" s="95" t="s">
        <v>29</v>
      </c>
      <c r="C49" s="95"/>
      <c r="D49" s="95"/>
      <c r="E49" s="105"/>
      <c r="F49" s="105"/>
      <c r="G49" s="105"/>
      <c r="H49" s="105"/>
      <c r="I49" s="105"/>
      <c r="J49" s="105"/>
      <c r="K49" s="105"/>
      <c r="L49" s="105"/>
      <c r="M49" s="105"/>
    </row>
    <row r="50" spans="2:13" ht="15.95" customHeight="1">
      <c r="B50" s="95" t="s">
        <v>30</v>
      </c>
      <c r="C50" s="95"/>
      <c r="D50" s="95"/>
      <c r="E50" s="90"/>
      <c r="F50" s="90"/>
      <c r="G50" s="90"/>
      <c r="H50" s="90"/>
      <c r="I50" s="90"/>
      <c r="J50" s="90"/>
      <c r="K50" s="90"/>
      <c r="L50" s="90"/>
      <c r="M50" s="90"/>
    </row>
    <row r="51" spans="2:13" ht="15.95" customHeight="1">
      <c r="B51" s="95" t="s">
        <v>34</v>
      </c>
      <c r="C51" s="95"/>
      <c r="D51" s="95"/>
      <c r="E51" s="90"/>
      <c r="F51" s="90"/>
      <c r="G51" s="90"/>
      <c r="H51" s="90"/>
      <c r="I51" s="90"/>
      <c r="J51" s="90"/>
      <c r="K51" s="90"/>
      <c r="L51" s="90"/>
      <c r="M51" s="90"/>
    </row>
  </sheetData>
  <sheetProtection algorithmName="SHA-512" hashValue="8NWI+KJod5hj9bTJ0cI86Su16fwQoTZacx/Bjd73WKN05MSI4DnIEPdd+0WC0iNKfF9ylv3QSAkvyCWg8f8BLg==" saltValue="Z6vbUkG/9y8EeVZkFCWbxA==" spinCount="100000" sheet="1" objects="1" scenarios="1"/>
  <mergeCells count="87">
    <mergeCell ref="B17:C17"/>
    <mergeCell ref="B14:D14"/>
    <mergeCell ref="E14:M14"/>
    <mergeCell ref="E13:M13"/>
    <mergeCell ref="B18:C18"/>
    <mergeCell ref="I18:M18"/>
    <mergeCell ref="G19:H19"/>
    <mergeCell ref="G18:H18"/>
    <mergeCell ref="D19:F19"/>
    <mergeCell ref="D18:F18"/>
    <mergeCell ref="L40:M40"/>
    <mergeCell ref="L26:M26"/>
    <mergeCell ref="L28:M28"/>
    <mergeCell ref="L29:M29"/>
    <mergeCell ref="L30:M30"/>
    <mergeCell ref="L31:M31"/>
    <mergeCell ref="L27:M27"/>
    <mergeCell ref="E49:M49"/>
    <mergeCell ref="F43:G43"/>
    <mergeCell ref="F44:G44"/>
    <mergeCell ref="F45:G45"/>
    <mergeCell ref="L33:M33"/>
    <mergeCell ref="L34:M34"/>
    <mergeCell ref="L35:M35"/>
    <mergeCell ref="L36:M36"/>
    <mergeCell ref="L41:M41"/>
    <mergeCell ref="L42:M42"/>
    <mergeCell ref="L43:M43"/>
    <mergeCell ref="L44:M44"/>
    <mergeCell ref="L45:M45"/>
    <mergeCell ref="B51:D51"/>
    <mergeCell ref="B50:D50"/>
    <mergeCell ref="B49:D49"/>
    <mergeCell ref="F24:G25"/>
    <mergeCell ref="F26:G26"/>
    <mergeCell ref="F27:G27"/>
    <mergeCell ref="F28:G28"/>
    <mergeCell ref="F29:G29"/>
    <mergeCell ref="F30:G30"/>
    <mergeCell ref="F31:G31"/>
    <mergeCell ref="F32:G32"/>
    <mergeCell ref="B24:B25"/>
    <mergeCell ref="F40:G40"/>
    <mergeCell ref="F41:G41"/>
    <mergeCell ref="F38:G38"/>
    <mergeCell ref="F39:G39"/>
    <mergeCell ref="C24:C25"/>
    <mergeCell ref="D24:D25"/>
    <mergeCell ref="E24:E25"/>
    <mergeCell ref="B7:D7"/>
    <mergeCell ref="B8:D8"/>
    <mergeCell ref="B9:D9"/>
    <mergeCell ref="B12:D12"/>
    <mergeCell ref="E12:M12"/>
    <mergeCell ref="B13:D13"/>
    <mergeCell ref="L24:M24"/>
    <mergeCell ref="L25:M25"/>
    <mergeCell ref="B19:C19"/>
    <mergeCell ref="I17:M17"/>
    <mergeCell ref="D17:F17"/>
    <mergeCell ref="G17:H17"/>
    <mergeCell ref="I19:M19"/>
    <mergeCell ref="E50:M50"/>
    <mergeCell ref="E51:M51"/>
    <mergeCell ref="E7:M7"/>
    <mergeCell ref="E8:H8"/>
    <mergeCell ref="J8:M8"/>
    <mergeCell ref="F42:G42"/>
    <mergeCell ref="F33:G33"/>
    <mergeCell ref="F34:G34"/>
    <mergeCell ref="F35:G35"/>
    <mergeCell ref="F36:G36"/>
    <mergeCell ref="F37:G37"/>
    <mergeCell ref="H24:K24"/>
    <mergeCell ref="L37:M37"/>
    <mergeCell ref="L38:M38"/>
    <mergeCell ref="L39:M39"/>
    <mergeCell ref="L32:M32"/>
    <mergeCell ref="G1:H1"/>
    <mergeCell ref="G2:H2"/>
    <mergeCell ref="G3:H3"/>
    <mergeCell ref="L1:M1"/>
    <mergeCell ref="L2:M2"/>
    <mergeCell ref="L3:M3"/>
    <mergeCell ref="I1:K1"/>
    <mergeCell ref="I2:K2"/>
    <mergeCell ref="I3:K3"/>
  </mergeCells>
  <phoneticPr fontId="2"/>
  <dataValidations count="2">
    <dataValidation type="custom" allowBlank="1" showInputMessage="1" showErrorMessage="1" error="LED照明器具を選択している場合、開口部欄には入力しないでください。" sqref="H26:I45" xr:uid="{00000000-0002-0000-0000-000000000000}">
      <formula1>$C26&lt;&gt;"LED照明器具"</formula1>
    </dataValidation>
    <dataValidation type="custom" allowBlank="1" showInputMessage="1" showErrorMessage="1" error="開口部建具を選択している場合、LED欄には入力しないでください。" sqref="L26:M45" xr:uid="{615DEB09-0AEF-453B-AE4A-2643624B7207}">
      <formula1>$N26&lt;&gt;"開"</formula1>
    </dataValidation>
  </dataValidations>
  <pageMargins left="0.7" right="0.7" top="0.75" bottom="0.75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リスト!$C$4:$C$9</xm:f>
          </x14:formula1>
          <xm:sqref>C26:C45</xm:sqref>
        </x14:dataValidation>
        <x14:dataValidation type="list" allowBlank="1" showInputMessage="1" showErrorMessage="1" xr:uid="{F165788B-71B0-4213-BB41-C2A8B34BEF32}">
          <x14:formula1>
            <xm:f>リスト!$C$17:$C$19</xm:f>
          </x14:formula1>
          <xm:sqref>E12:M12</xm:sqref>
        </x14:dataValidation>
        <x14:dataValidation type="list" allowBlank="1" showInputMessage="1" showErrorMessage="1" xr:uid="{2726A06F-262C-46B5-8DCA-6DBB4BE56F79}">
          <x14:formula1>
            <xm:f>リスト!$C$12:$C$16</xm:f>
          </x14:formula1>
          <xm:sqref>E49:M49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4"/>
  <sheetViews>
    <sheetView view="pageBreakPreview" topLeftCell="A25" zoomScale="115" zoomScaleNormal="100" zoomScaleSheetLayoutView="115" workbookViewId="0">
      <selection activeCell="S47" sqref="S47:U47"/>
    </sheetView>
  </sheetViews>
  <sheetFormatPr defaultRowHeight="12"/>
  <cols>
    <col min="1" max="1" width="2.625" style="6" customWidth="1"/>
    <col min="2" max="2" width="3.625" style="7" customWidth="1"/>
    <col min="3" max="26" width="3.625" style="8" customWidth="1"/>
    <col min="27" max="16384" width="9" style="8"/>
  </cols>
  <sheetData>
    <row r="1" spans="1:22">
      <c r="A1" s="6" t="s">
        <v>117</v>
      </c>
      <c r="Q1" s="9"/>
      <c r="R1" s="9"/>
      <c r="S1" s="9"/>
      <c r="T1" s="9"/>
      <c r="U1" s="9"/>
      <c r="V1" s="9"/>
    </row>
    <row r="2" spans="1:22">
      <c r="A2" s="6" t="s">
        <v>116</v>
      </c>
      <c r="B2" s="63"/>
      <c r="Q2" s="9"/>
      <c r="R2" s="9"/>
      <c r="S2" s="9"/>
      <c r="T2" s="9"/>
      <c r="U2" s="9"/>
      <c r="V2" s="9"/>
    </row>
    <row r="3" spans="1:22">
      <c r="A3" s="67" t="s">
        <v>119</v>
      </c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3.95" customHeight="1">
      <c r="B4" s="63"/>
    </row>
    <row r="5" spans="1:22">
      <c r="A5" s="6" t="s">
        <v>105</v>
      </c>
      <c r="B5" s="63"/>
      <c r="J5" s="9"/>
      <c r="K5" s="9"/>
      <c r="L5" s="9"/>
    </row>
    <row r="6" spans="1:22" ht="3.95" customHeight="1">
      <c r="B6" s="63"/>
    </row>
    <row r="7" spans="1:22" ht="24" customHeight="1">
      <c r="B7" s="137" t="s">
        <v>62</v>
      </c>
      <c r="C7" s="138"/>
      <c r="D7" s="138"/>
      <c r="E7" s="138"/>
      <c r="F7" s="138"/>
      <c r="G7" s="138"/>
      <c r="H7" s="138"/>
      <c r="I7" s="138"/>
      <c r="J7" s="138"/>
      <c r="K7" s="139">
        <f>ROUNDDOWN(対象機器等一覧!$E$9*対象機器等一覧!$G$9*0.001+対象機器等一覧!$J$9*対象機器等一覧!$L$9*0.001,2)</f>
        <v>0</v>
      </c>
      <c r="L7" s="140"/>
      <c r="M7" s="57" t="s">
        <v>58</v>
      </c>
      <c r="N7" s="141" t="s">
        <v>44</v>
      </c>
      <c r="O7" s="142"/>
      <c r="P7" s="137" t="s">
        <v>118</v>
      </c>
      <c r="Q7" s="138"/>
      <c r="R7" s="138"/>
      <c r="S7" s="143"/>
      <c r="T7" s="144">
        <f>K7*50000</f>
        <v>0</v>
      </c>
      <c r="U7" s="145"/>
      <c r="V7" s="64" t="s">
        <v>43</v>
      </c>
    </row>
    <row r="8" spans="1:22" ht="24" customHeight="1">
      <c r="B8" s="133" t="s">
        <v>120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5"/>
      <c r="S8" s="119">
        <f>ROUNDDOWN(MIN(T7,200000),-3)</f>
        <v>0</v>
      </c>
      <c r="T8" s="136"/>
      <c r="U8" s="136"/>
      <c r="V8" s="60" t="s">
        <v>43</v>
      </c>
    </row>
    <row r="9" spans="1:22" ht="3.95" customHeight="1">
      <c r="B9" s="63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</row>
    <row r="10" spans="1:22" ht="12" customHeight="1">
      <c r="A10" s="6" t="s">
        <v>107</v>
      </c>
      <c r="B10" s="63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1"/>
      <c r="T10" s="71"/>
      <c r="U10" s="71"/>
      <c r="V10" s="12"/>
    </row>
    <row r="11" spans="1:22" ht="3.95" customHeight="1">
      <c r="B11" s="63"/>
    </row>
    <row r="12" spans="1:22" ht="15.95" customHeight="1">
      <c r="B12" s="131" t="s">
        <v>124</v>
      </c>
      <c r="C12" s="132"/>
      <c r="D12" s="132"/>
      <c r="E12" s="132"/>
      <c r="F12" s="115"/>
      <c r="G12" s="131" t="s">
        <v>123</v>
      </c>
      <c r="H12" s="115"/>
      <c r="I12" s="147" t="s">
        <v>121</v>
      </c>
      <c r="J12" s="147"/>
      <c r="K12" s="147"/>
      <c r="L12" s="146" t="s">
        <v>125</v>
      </c>
      <c r="M12" s="147"/>
      <c r="N12" s="147"/>
      <c r="O12" s="147"/>
      <c r="P12" s="147"/>
      <c r="Q12" s="148"/>
      <c r="R12" s="131" t="s">
        <v>123</v>
      </c>
      <c r="S12" s="115"/>
      <c r="T12" s="146" t="s">
        <v>121</v>
      </c>
      <c r="U12" s="147"/>
      <c r="V12" s="148"/>
    </row>
    <row r="13" spans="1:22" ht="24" customHeight="1">
      <c r="B13" s="149" t="s">
        <v>136</v>
      </c>
      <c r="C13" s="113"/>
      <c r="D13" s="113"/>
      <c r="E13" s="113"/>
      <c r="F13" s="150"/>
      <c r="G13" s="74">
        <f>COUNTIF(対象機器等一覧!$E$12,リスト!$C$17)</f>
        <v>0</v>
      </c>
      <c r="H13" s="60" t="s">
        <v>126</v>
      </c>
      <c r="I13" s="136">
        <f>$G$13*40000</f>
        <v>0</v>
      </c>
      <c r="J13" s="136"/>
      <c r="K13" s="49" t="s">
        <v>122</v>
      </c>
      <c r="L13" s="149" t="s">
        <v>138</v>
      </c>
      <c r="M13" s="113"/>
      <c r="N13" s="113"/>
      <c r="O13" s="113"/>
      <c r="P13" s="113"/>
      <c r="Q13" s="150"/>
      <c r="R13" s="74">
        <f>COUNTIF(対象機器等一覧!$E$12,リスト!$C$19)</f>
        <v>0</v>
      </c>
      <c r="S13" s="60" t="s">
        <v>126</v>
      </c>
      <c r="T13" s="136">
        <f>$R$13*200000</f>
        <v>0</v>
      </c>
      <c r="U13" s="136"/>
      <c r="V13" s="75" t="s">
        <v>122</v>
      </c>
    </row>
    <row r="14" spans="1:22" ht="24" customHeight="1">
      <c r="B14" s="149" t="s">
        <v>137</v>
      </c>
      <c r="C14" s="113"/>
      <c r="D14" s="113"/>
      <c r="E14" s="113"/>
      <c r="F14" s="150"/>
      <c r="G14" s="74">
        <f>COUNTIF(対象機器等一覧!$E$12,リスト!$C$18)</f>
        <v>0</v>
      </c>
      <c r="H14" s="60" t="s">
        <v>126</v>
      </c>
      <c r="I14" s="136">
        <f>$G$14*80000</f>
        <v>0</v>
      </c>
      <c r="J14" s="136"/>
      <c r="K14" s="49" t="s">
        <v>122</v>
      </c>
      <c r="L14" s="112" t="s">
        <v>127</v>
      </c>
      <c r="M14" s="113"/>
      <c r="N14" s="113"/>
      <c r="O14" s="113"/>
      <c r="P14" s="113"/>
      <c r="Q14" s="113"/>
      <c r="R14" s="113"/>
      <c r="S14" s="114">
        <f>MIN(I13+I14+T13,200000)</f>
        <v>0</v>
      </c>
      <c r="T14" s="114"/>
      <c r="U14" s="114"/>
      <c r="V14" s="75" t="s">
        <v>122</v>
      </c>
    </row>
    <row r="15" spans="1:22" ht="12" customHeight="1">
      <c r="B15" s="73"/>
      <c r="C15" s="10"/>
      <c r="D15" s="10"/>
      <c r="E15" s="10"/>
      <c r="F15" s="10"/>
      <c r="G15" s="10"/>
      <c r="H15" s="10"/>
      <c r="I15" s="72"/>
      <c r="J15" s="72"/>
      <c r="K15" s="70"/>
      <c r="L15" s="70"/>
      <c r="M15" s="70"/>
      <c r="N15" s="70"/>
      <c r="O15" s="70"/>
      <c r="P15" s="70"/>
      <c r="Q15" s="70"/>
      <c r="R15" s="70"/>
      <c r="S15" s="71"/>
      <c r="T15" s="71"/>
      <c r="U15" s="71"/>
      <c r="V15" s="12"/>
    </row>
    <row r="16" spans="1:22">
      <c r="A16" s="67" t="s">
        <v>128</v>
      </c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</row>
    <row r="17" spans="1:22" ht="3.95" customHeight="1">
      <c r="B17" s="63"/>
    </row>
    <row r="18" spans="1:22" ht="24" customHeight="1">
      <c r="A18" s="76"/>
      <c r="B18" s="153" t="s">
        <v>139</v>
      </c>
      <c r="C18" s="154"/>
      <c r="D18" s="154"/>
      <c r="E18" s="154"/>
      <c r="F18" s="154"/>
      <c r="G18" s="154"/>
      <c r="H18" s="154"/>
      <c r="I18" s="154"/>
      <c r="J18" s="154"/>
      <c r="K18" s="61" t="str">
        <f>IF(対象機器等一覧!$D$19&lt;&gt;"",リスト!$C$21,"-")</f>
        <v>-</v>
      </c>
      <c r="L18" s="154" t="s">
        <v>129</v>
      </c>
      <c r="M18" s="154"/>
      <c r="N18" s="154"/>
      <c r="O18" s="154"/>
      <c r="P18" s="154"/>
      <c r="Q18" s="154"/>
      <c r="R18" s="154"/>
      <c r="S18" s="155"/>
      <c r="T18" s="119">
        <f>COUNTIF($K$18,リスト!$C$21)*200000</f>
        <v>0</v>
      </c>
      <c r="U18" s="136"/>
      <c r="V18" s="79" t="s">
        <v>122</v>
      </c>
    </row>
    <row r="19" spans="1:22" ht="24" customHeight="1">
      <c r="A19" s="76"/>
      <c r="B19" s="153" t="s">
        <v>140</v>
      </c>
      <c r="C19" s="154"/>
      <c r="D19" s="154"/>
      <c r="E19" s="154"/>
      <c r="F19" s="154"/>
      <c r="G19" s="154"/>
      <c r="H19" s="154"/>
      <c r="I19" s="154"/>
      <c r="J19" s="154"/>
      <c r="K19" s="66" t="str">
        <f>IF(対象機器等一覧!$G$19&lt;&gt;"",リスト!$C$21,"-")</f>
        <v>-</v>
      </c>
      <c r="L19" s="154" t="s">
        <v>130</v>
      </c>
      <c r="M19" s="154"/>
      <c r="N19" s="154"/>
      <c r="O19" s="154"/>
      <c r="P19" s="154"/>
      <c r="Q19" s="154"/>
      <c r="R19" s="154"/>
      <c r="S19" s="155"/>
      <c r="T19" s="119">
        <f>COUNTIF($K$19,リスト!$C$21)*200000</f>
        <v>0</v>
      </c>
      <c r="U19" s="136"/>
      <c r="V19" s="79" t="s">
        <v>122</v>
      </c>
    </row>
    <row r="20" spans="1:22" ht="24" customHeight="1">
      <c r="A20" s="76"/>
      <c r="B20" s="151" t="s">
        <v>141</v>
      </c>
      <c r="C20" s="152"/>
      <c r="D20" s="152"/>
      <c r="E20" s="152"/>
      <c r="F20" s="152"/>
      <c r="G20" s="152"/>
      <c r="H20" s="152"/>
      <c r="I20" s="152"/>
      <c r="J20" s="152"/>
      <c r="K20" s="66" t="str">
        <f>IF(対象機器等一覧!$I$19&lt;&gt;"",リスト!$C$21,"-")</f>
        <v>-</v>
      </c>
      <c r="L20" s="156" t="s">
        <v>142</v>
      </c>
      <c r="M20" s="157"/>
      <c r="N20" s="157"/>
      <c r="O20" s="157"/>
      <c r="P20" s="157"/>
      <c r="Q20" s="157"/>
      <c r="R20" s="157"/>
      <c r="S20" s="158"/>
      <c r="T20" s="119">
        <f>COUNTIF($K$20,リスト!$C$21)*200000</f>
        <v>0</v>
      </c>
      <c r="U20" s="136"/>
      <c r="V20" s="78" t="s">
        <v>122</v>
      </c>
    </row>
    <row r="21" spans="1:22">
      <c r="A21" s="76"/>
      <c r="B21" s="77"/>
      <c r="C21" s="9"/>
      <c r="D21" s="9"/>
      <c r="E21" s="9"/>
      <c r="F21" s="9"/>
      <c r="G21" s="9"/>
      <c r="H21" s="9"/>
      <c r="I21" s="9"/>
      <c r="J21" s="9"/>
      <c r="K21" s="9" t="s">
        <v>131</v>
      </c>
      <c r="L21" s="76" t="s">
        <v>132</v>
      </c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>
      <c r="A22" s="76"/>
      <c r="B22" s="77"/>
      <c r="C22" s="9"/>
      <c r="D22" s="9"/>
      <c r="E22" s="9"/>
      <c r="F22" s="9"/>
      <c r="G22" s="9"/>
      <c r="H22" s="9"/>
      <c r="I22" s="9"/>
      <c r="J22" s="9"/>
      <c r="K22" s="9"/>
      <c r="L22" s="76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>
      <c r="A23" s="67" t="s">
        <v>133</v>
      </c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</row>
    <row r="24" spans="1:22" ht="3.95" customHeight="1">
      <c r="B24" s="63"/>
    </row>
    <row r="25" spans="1:22">
      <c r="A25" s="6" t="s">
        <v>50</v>
      </c>
    </row>
    <row r="26" spans="1:22" ht="3.95" customHeight="1"/>
    <row r="27" spans="1:22" ht="15.95" customHeight="1">
      <c r="B27" s="95" t="s">
        <v>35</v>
      </c>
      <c r="C27" s="95"/>
      <c r="D27" s="95"/>
      <c r="E27" s="95"/>
      <c r="F27" s="95" t="s">
        <v>41</v>
      </c>
      <c r="G27" s="95"/>
      <c r="H27" s="95"/>
      <c r="I27" s="95"/>
      <c r="J27" s="95"/>
      <c r="K27" s="95"/>
      <c r="L27" s="95"/>
      <c r="M27" s="95"/>
      <c r="N27" s="95"/>
      <c r="O27" s="95" t="s">
        <v>97</v>
      </c>
      <c r="P27" s="95"/>
      <c r="Q27" s="95"/>
      <c r="R27" s="95"/>
      <c r="S27" s="95"/>
      <c r="T27" s="95" t="s">
        <v>45</v>
      </c>
      <c r="U27" s="95"/>
      <c r="V27" s="95"/>
    </row>
    <row r="28" spans="1:22" ht="15.95" customHeight="1">
      <c r="B28" s="95" t="s">
        <v>36</v>
      </c>
      <c r="C28" s="95"/>
      <c r="D28" s="95"/>
      <c r="E28" s="95"/>
      <c r="F28" s="52" t="s">
        <v>22</v>
      </c>
      <c r="G28" s="54">
        <f>COUNTIFS(対象機器等一覧!$C$26:$C$45,リスト!$C4,対象機器等一覧!$K$26:$K$45,リスト!$F5)</f>
        <v>0</v>
      </c>
      <c r="H28" s="53" t="s">
        <v>96</v>
      </c>
      <c r="I28" s="52" t="s">
        <v>23</v>
      </c>
      <c r="J28" s="54">
        <f>COUNTIFS(対象機器等一覧!$C$26:$C$45,リスト!$C4,対象機器等一覧!$K$26:$K$45,リスト!$F6)</f>
        <v>0</v>
      </c>
      <c r="K28" s="53" t="s">
        <v>96</v>
      </c>
      <c r="L28" s="52" t="s">
        <v>24</v>
      </c>
      <c r="M28" s="54">
        <f>COUNTIFS(対象機器等一覧!$C$26:$C$45,リスト!$C4,対象機器等一覧!$K$26:$K$45,リスト!$F7)</f>
        <v>0</v>
      </c>
      <c r="N28" s="53" t="s">
        <v>96</v>
      </c>
      <c r="O28" s="120" t="s">
        <v>46</v>
      </c>
      <c r="P28" s="120"/>
      <c r="Q28" s="120"/>
      <c r="R28" s="120"/>
      <c r="S28" s="120"/>
      <c r="T28" s="118">
        <f>G28*6000+J28*15000+M28*30000</f>
        <v>0</v>
      </c>
      <c r="U28" s="119"/>
      <c r="V28" s="34" t="s">
        <v>43</v>
      </c>
    </row>
    <row r="29" spans="1:22" ht="15.95" customHeight="1">
      <c r="B29" s="95" t="s">
        <v>37</v>
      </c>
      <c r="C29" s="95"/>
      <c r="D29" s="95"/>
      <c r="E29" s="95"/>
      <c r="F29" s="52" t="s">
        <v>22</v>
      </c>
      <c r="G29" s="54">
        <f>COUNTIFS(対象機器等一覧!$C$26:$C$45,リスト!$C5,対象機器等一覧!$K$26:$K$45,リスト!$F5)</f>
        <v>0</v>
      </c>
      <c r="H29" s="53" t="s">
        <v>96</v>
      </c>
      <c r="I29" s="52" t="s">
        <v>23</v>
      </c>
      <c r="J29" s="54">
        <f>COUNTIFS(対象機器等一覧!$C$26:$C$45,リスト!$C5,対象機器等一覧!$K$26:$K$45,リスト!$F6)</f>
        <v>0</v>
      </c>
      <c r="K29" s="53" t="s">
        <v>96</v>
      </c>
      <c r="L29" s="52" t="s">
        <v>24</v>
      </c>
      <c r="M29" s="54">
        <f>COUNTIFS(対象機器等一覧!$C$26:$C$45,リスト!$C5,対象機器等一覧!$K$26:$K$45,リスト!$F7)</f>
        <v>0</v>
      </c>
      <c r="N29" s="53" t="s">
        <v>96</v>
      </c>
      <c r="O29" s="120" t="s">
        <v>47</v>
      </c>
      <c r="P29" s="120"/>
      <c r="Q29" s="120"/>
      <c r="R29" s="120"/>
      <c r="S29" s="120"/>
      <c r="T29" s="118">
        <f>G29*9000+J29*31000+M29*65000</f>
        <v>0</v>
      </c>
      <c r="U29" s="119"/>
      <c r="V29" s="34" t="s">
        <v>43</v>
      </c>
    </row>
    <row r="30" spans="1:22" ht="15.95" customHeight="1">
      <c r="B30" s="95" t="s">
        <v>38</v>
      </c>
      <c r="C30" s="95"/>
      <c r="D30" s="95"/>
      <c r="E30" s="95"/>
      <c r="F30" s="52" t="s">
        <v>22</v>
      </c>
      <c r="G30" s="54">
        <f>COUNTIFS(対象機器等一覧!$C$26:$C$45,リスト!$C6,対象機器等一覧!$K$26:$K$45,リスト!$F5)</f>
        <v>0</v>
      </c>
      <c r="H30" s="53" t="s">
        <v>42</v>
      </c>
      <c r="I30" s="52" t="s">
        <v>23</v>
      </c>
      <c r="J30" s="54">
        <f>COUNTIFS(対象機器等一覧!$C$26:$C$45,リスト!$C6,対象機器等一覧!$K$26:$K$45,リスト!$F6)</f>
        <v>0</v>
      </c>
      <c r="K30" s="53" t="s">
        <v>42</v>
      </c>
      <c r="L30" s="52" t="s">
        <v>24</v>
      </c>
      <c r="M30" s="54">
        <f>COUNTIFS(対象機器等一覧!$C$26:$C$45,リスト!$C6,対象機器等一覧!$K$26:$K$45,リスト!$F7)</f>
        <v>0</v>
      </c>
      <c r="N30" s="53" t="s">
        <v>42</v>
      </c>
      <c r="O30" s="120" t="s">
        <v>48</v>
      </c>
      <c r="P30" s="120"/>
      <c r="Q30" s="120"/>
      <c r="R30" s="120"/>
      <c r="S30" s="120"/>
      <c r="T30" s="118">
        <f>G30*4000+J30*10000+M30*16000</f>
        <v>0</v>
      </c>
      <c r="U30" s="119"/>
      <c r="V30" s="34" t="s">
        <v>43</v>
      </c>
    </row>
    <row r="31" spans="1:22" ht="15.95" customHeight="1">
      <c r="B31" s="95" t="s">
        <v>40</v>
      </c>
      <c r="C31" s="95"/>
      <c r="D31" s="95"/>
      <c r="E31" s="95"/>
      <c r="F31" s="116">
        <f>COUNTIF(対象機器等一覧!$C$26:$C$45,リスト!C7)</f>
        <v>0</v>
      </c>
      <c r="G31" s="116"/>
      <c r="H31" s="116"/>
      <c r="I31" s="116"/>
      <c r="J31" s="116"/>
      <c r="K31" s="116"/>
      <c r="L31" s="117"/>
      <c r="M31" s="115" t="s">
        <v>96</v>
      </c>
      <c r="N31" s="95"/>
      <c r="O31" s="120" t="s">
        <v>99</v>
      </c>
      <c r="P31" s="120"/>
      <c r="Q31" s="120"/>
      <c r="R31" s="121"/>
      <c r="S31" s="121"/>
      <c r="T31" s="125">
        <f>F31*66000</f>
        <v>0</v>
      </c>
      <c r="U31" s="126"/>
      <c r="V31" s="51" t="s">
        <v>43</v>
      </c>
    </row>
    <row r="32" spans="1:22" ht="15.95" customHeight="1">
      <c r="B32" s="95" t="s">
        <v>39</v>
      </c>
      <c r="C32" s="95"/>
      <c r="D32" s="95"/>
      <c r="E32" s="95"/>
      <c r="F32" s="116">
        <f>COUNTIF(対象機器等一覧!$C$26:$C$45,リスト!C8)</f>
        <v>0</v>
      </c>
      <c r="G32" s="116"/>
      <c r="H32" s="116"/>
      <c r="I32" s="116"/>
      <c r="J32" s="116"/>
      <c r="K32" s="116"/>
      <c r="L32" s="117"/>
      <c r="M32" s="115" t="s">
        <v>96</v>
      </c>
      <c r="N32" s="95"/>
      <c r="O32" s="120" t="s">
        <v>98</v>
      </c>
      <c r="P32" s="120"/>
      <c r="Q32" s="120"/>
      <c r="R32" s="120"/>
      <c r="S32" s="120"/>
      <c r="T32" s="118">
        <f>F32*27000</f>
        <v>0</v>
      </c>
      <c r="U32" s="119"/>
      <c r="V32" s="34" t="s">
        <v>43</v>
      </c>
    </row>
    <row r="33" spans="1:22" ht="15.95" customHeight="1">
      <c r="R33" s="39"/>
      <c r="S33" s="50" t="s">
        <v>53</v>
      </c>
      <c r="T33" s="118">
        <f>SUM(T28:U32)</f>
        <v>0</v>
      </c>
      <c r="U33" s="119"/>
      <c r="V33" s="34" t="s">
        <v>43</v>
      </c>
    </row>
    <row r="34" spans="1:22" ht="3.95" customHeight="1">
      <c r="B34" s="63"/>
    </row>
    <row r="35" spans="1:22">
      <c r="A35" s="6" t="s">
        <v>49</v>
      </c>
    </row>
    <row r="36" spans="1:22" ht="3.95" customHeight="1"/>
    <row r="37" spans="1:22" ht="15.95" customHeight="1">
      <c r="B37" s="122" t="s">
        <v>51</v>
      </c>
      <c r="C37" s="122"/>
      <c r="D37" s="122"/>
      <c r="E37" s="122"/>
      <c r="F37" s="122"/>
      <c r="G37" s="123">
        <f>SUM(対象機器等一覧!$L$26:$M$45)</f>
        <v>0</v>
      </c>
      <c r="H37" s="123"/>
      <c r="I37" s="124"/>
      <c r="J37" s="34" t="s">
        <v>52</v>
      </c>
      <c r="K37" s="95" t="s">
        <v>57</v>
      </c>
      <c r="L37" s="95"/>
      <c r="M37" s="55" t="s">
        <v>61</v>
      </c>
      <c r="N37" s="39"/>
      <c r="O37" s="39"/>
      <c r="P37" s="39"/>
      <c r="Q37" s="39"/>
      <c r="R37" s="39"/>
      <c r="S37" s="39"/>
      <c r="T37" s="118">
        <f>ROUNDDOWN($G$37*1.4,0)</f>
        <v>0</v>
      </c>
      <c r="U37" s="119"/>
      <c r="V37" s="34" t="s">
        <v>43</v>
      </c>
    </row>
    <row r="38" spans="1:22" ht="3.95" customHeight="1">
      <c r="B38" s="63"/>
    </row>
    <row r="39" spans="1:22" ht="12" customHeight="1">
      <c r="A39" s="6" t="s">
        <v>54</v>
      </c>
    </row>
    <row r="40" spans="1:22" ht="3.95" customHeight="1"/>
    <row r="41" spans="1:22" ht="15.95" customHeight="1">
      <c r="B41" s="95" t="s">
        <v>134</v>
      </c>
      <c r="C41" s="95"/>
      <c r="D41" s="95"/>
      <c r="E41" s="95"/>
      <c r="F41" s="95"/>
      <c r="G41" s="95" t="s">
        <v>56</v>
      </c>
      <c r="H41" s="95"/>
      <c r="I41" s="95" t="s">
        <v>45</v>
      </c>
      <c r="J41" s="95"/>
      <c r="K41" s="95"/>
      <c r="L41" s="131" t="s">
        <v>134</v>
      </c>
      <c r="M41" s="132"/>
      <c r="N41" s="132"/>
      <c r="O41" s="132"/>
      <c r="P41" s="132"/>
      <c r="Q41" s="115"/>
      <c r="R41" s="95" t="s">
        <v>56</v>
      </c>
      <c r="S41" s="95"/>
      <c r="T41" s="95" t="s">
        <v>45</v>
      </c>
      <c r="U41" s="95"/>
      <c r="V41" s="95"/>
    </row>
    <row r="42" spans="1:22" ht="24" customHeight="1">
      <c r="B42" s="127" t="s">
        <v>143</v>
      </c>
      <c r="C42" s="128"/>
      <c r="D42" s="128"/>
      <c r="E42" s="128"/>
      <c r="F42" s="128"/>
      <c r="G42" s="62">
        <f>COUNTIF(対象機器等一覧!$E$49,リスト!$C$12)</f>
        <v>0</v>
      </c>
      <c r="H42" s="60" t="s">
        <v>55</v>
      </c>
      <c r="I42" s="118">
        <f>G42*100000</f>
        <v>0</v>
      </c>
      <c r="J42" s="119"/>
      <c r="K42" s="60" t="s">
        <v>43</v>
      </c>
      <c r="L42" s="149" t="s">
        <v>146</v>
      </c>
      <c r="M42" s="113"/>
      <c r="N42" s="113"/>
      <c r="O42" s="113"/>
      <c r="P42" s="113"/>
      <c r="Q42" s="150"/>
      <c r="R42" s="62">
        <f>COUNTIF(対象機器等一覧!$E$49,リスト!$C$15)</f>
        <v>0</v>
      </c>
      <c r="S42" s="60" t="s">
        <v>55</v>
      </c>
      <c r="T42" s="118">
        <f>R42*200000</f>
        <v>0</v>
      </c>
      <c r="U42" s="119"/>
      <c r="V42" s="60" t="s">
        <v>43</v>
      </c>
    </row>
    <row r="43" spans="1:22" ht="24" customHeight="1">
      <c r="B43" s="127" t="s">
        <v>144</v>
      </c>
      <c r="C43" s="128"/>
      <c r="D43" s="128"/>
      <c r="E43" s="128"/>
      <c r="F43" s="128"/>
      <c r="G43" s="56">
        <f>COUNTIF(対象機器等一覧!$E$49,リスト!$C$13)</f>
        <v>0</v>
      </c>
      <c r="H43" s="34" t="s">
        <v>55</v>
      </c>
      <c r="I43" s="118">
        <f>G43*40000</f>
        <v>0</v>
      </c>
      <c r="J43" s="119"/>
      <c r="K43" s="34" t="s">
        <v>43</v>
      </c>
      <c r="L43" s="149" t="s">
        <v>147</v>
      </c>
      <c r="M43" s="113"/>
      <c r="N43" s="113"/>
      <c r="O43" s="113"/>
      <c r="P43" s="113"/>
      <c r="Q43" s="150"/>
      <c r="R43" s="56">
        <f>COUNTIF(対象機器等一覧!$E$49,リスト!$C$16)</f>
        <v>0</v>
      </c>
      <c r="S43" s="34" t="s">
        <v>55</v>
      </c>
      <c r="T43" s="118">
        <f>R43*80000</f>
        <v>0</v>
      </c>
      <c r="U43" s="119"/>
      <c r="V43" s="34" t="s">
        <v>43</v>
      </c>
    </row>
    <row r="44" spans="1:22" ht="24" customHeight="1">
      <c r="B44" s="167" t="s">
        <v>145</v>
      </c>
      <c r="C44" s="168"/>
      <c r="D44" s="168"/>
      <c r="E44" s="168"/>
      <c r="F44" s="168"/>
      <c r="G44" s="80">
        <f>COUNTIF(対象機器等一覧!$E$49,リスト!$C$14)</f>
        <v>0</v>
      </c>
      <c r="H44" s="64" t="s">
        <v>55</v>
      </c>
      <c r="I44" s="125">
        <f>G44*50000</f>
        <v>0</v>
      </c>
      <c r="J44" s="126"/>
      <c r="K44" s="64" t="s">
        <v>43</v>
      </c>
      <c r="L44" s="131"/>
      <c r="M44" s="132"/>
      <c r="N44" s="132"/>
      <c r="O44" s="132"/>
      <c r="P44" s="132"/>
      <c r="Q44" s="115"/>
      <c r="R44" s="81"/>
      <c r="S44" s="82" t="s">
        <v>59</v>
      </c>
      <c r="T44" s="165">
        <f>SUM(I42:J44,T42:U43)</f>
        <v>0</v>
      </c>
      <c r="U44" s="166"/>
      <c r="V44" s="60" t="s">
        <v>43</v>
      </c>
    </row>
    <row r="45" spans="1:22" ht="24" customHeight="1">
      <c r="B45" s="162" t="s">
        <v>148</v>
      </c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4"/>
      <c r="T45" s="165">
        <f>ROUNDDOWN(MIN(T33+T37+T44,200000),-3)</f>
        <v>0</v>
      </c>
      <c r="U45" s="166"/>
      <c r="V45" s="60" t="s">
        <v>43</v>
      </c>
    </row>
    <row r="46" spans="1:22" ht="12" customHeight="1" thickBot="1"/>
    <row r="47" spans="1:22" ht="20.100000000000001" customHeight="1" thickBot="1">
      <c r="B47" s="12"/>
      <c r="C47" s="12"/>
      <c r="D47" s="12"/>
      <c r="E47" s="12"/>
      <c r="F47" s="12"/>
      <c r="G47" s="159" t="s">
        <v>135</v>
      </c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1"/>
      <c r="S47" s="110">
        <f>SUM(S8,S14,T18,T19,T20,T45)</f>
        <v>0</v>
      </c>
      <c r="T47" s="111"/>
      <c r="U47" s="111"/>
      <c r="V47" s="83" t="s">
        <v>60</v>
      </c>
    </row>
    <row r="48" spans="1:22" ht="12.75" thickBot="1">
      <c r="B48" s="19"/>
    </row>
    <row r="49" spans="2:21" ht="12.75" thickTop="1">
      <c r="B49" s="30" t="s">
        <v>73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2"/>
    </row>
    <row r="50" spans="2:21" ht="3.95" customHeight="1">
      <c r="B50" s="31"/>
      <c r="C50" s="32"/>
      <c r="D50" s="32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5"/>
    </row>
    <row r="51" spans="2:21">
      <c r="B51" s="23"/>
      <c r="C51" s="129" t="s">
        <v>74</v>
      </c>
      <c r="D51" s="129"/>
      <c r="E51" s="129"/>
      <c r="F51" s="130">
        <f>SUMIF(対象機器等一覧!$C$26:$C$45,リスト!C4,対象機器等一覧!$J$26:$J$45)</f>
        <v>0</v>
      </c>
      <c r="G51" s="130"/>
      <c r="H51" s="24" t="s">
        <v>75</v>
      </c>
      <c r="I51" s="129" t="s">
        <v>77</v>
      </c>
      <c r="J51" s="129"/>
      <c r="K51" s="129"/>
      <c r="L51" s="130">
        <f>SUMIF(対象機器等一覧!$C$26:$C$45,リスト!C6,対象機器等一覧!$J$26:$J$45)</f>
        <v>0</v>
      </c>
      <c r="M51" s="130"/>
      <c r="N51" s="24" t="s">
        <v>75</v>
      </c>
      <c r="O51" s="129" t="s">
        <v>11</v>
      </c>
      <c r="P51" s="129"/>
      <c r="Q51" s="129"/>
      <c r="R51" s="130">
        <f>SUMIF(対象機器等一覧!$C$26:$C$45,リスト!C7,対象機器等一覧!$J$26:$J$45)</f>
        <v>0</v>
      </c>
      <c r="S51" s="130"/>
      <c r="T51" s="24" t="s">
        <v>75</v>
      </c>
      <c r="U51" s="25"/>
    </row>
    <row r="52" spans="2:21">
      <c r="B52" s="23"/>
      <c r="C52" s="129" t="s">
        <v>76</v>
      </c>
      <c r="D52" s="129"/>
      <c r="E52" s="129"/>
      <c r="F52" s="130">
        <f>SUMIF(対象機器等一覧!$C$26:$C$45,リスト!C5,対象機器等一覧!$J$26:$J$45)</f>
        <v>0</v>
      </c>
      <c r="G52" s="130"/>
      <c r="H52" s="24" t="s">
        <v>75</v>
      </c>
      <c r="I52" s="129"/>
      <c r="J52" s="129"/>
      <c r="K52" s="129"/>
      <c r="L52" s="130"/>
      <c r="M52" s="130"/>
      <c r="N52" s="24"/>
      <c r="O52" s="129" t="s">
        <v>12</v>
      </c>
      <c r="P52" s="129"/>
      <c r="Q52" s="129"/>
      <c r="R52" s="130">
        <f>SUMIF(対象機器等一覧!$C$26:$C$45,リスト!C8,対象機器等一覧!$J$26:$J$45)</f>
        <v>0</v>
      </c>
      <c r="S52" s="130"/>
      <c r="T52" s="24" t="s">
        <v>75</v>
      </c>
      <c r="U52" s="25"/>
    </row>
    <row r="53" spans="2:21" ht="3.95" customHeight="1" thickBot="1"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8"/>
    </row>
    <row r="54" spans="2:21" ht="12.75" thickTop="1"/>
  </sheetData>
  <sheetProtection algorithmName="SHA-512" hashValue="FrIXU5gg9H/6y+qL/UYRDl/bRDY1dyPHu1HG1ibA+Tms5D9wG6IStbj4k7AbwOj/Nbh5g5jE5xRpV1o7uTmv/g==" saltValue="+Kyt05qpBxVIwq5aQQBgtw==" spinCount="100000" sheet="1" selectLockedCells="1" selectUnlockedCells="1"/>
  <mergeCells count="92">
    <mergeCell ref="T42:U42"/>
    <mergeCell ref="G47:R47"/>
    <mergeCell ref="L41:Q41"/>
    <mergeCell ref="L42:Q42"/>
    <mergeCell ref="L43:Q43"/>
    <mergeCell ref="L44:Q44"/>
    <mergeCell ref="B45:S45"/>
    <mergeCell ref="T43:U43"/>
    <mergeCell ref="T44:U44"/>
    <mergeCell ref="T45:U45"/>
    <mergeCell ref="B41:F41"/>
    <mergeCell ref="T41:V41"/>
    <mergeCell ref="B44:F44"/>
    <mergeCell ref="B43:F43"/>
    <mergeCell ref="G41:H41"/>
    <mergeCell ref="I41:K41"/>
    <mergeCell ref="T18:U18"/>
    <mergeCell ref="T19:U19"/>
    <mergeCell ref="T20:U20"/>
    <mergeCell ref="L18:S18"/>
    <mergeCell ref="L19:S19"/>
    <mergeCell ref="L20:S20"/>
    <mergeCell ref="I14:J14"/>
    <mergeCell ref="B13:F13"/>
    <mergeCell ref="B14:F14"/>
    <mergeCell ref="B20:J20"/>
    <mergeCell ref="B19:J19"/>
    <mergeCell ref="B18:J18"/>
    <mergeCell ref="T13:U13"/>
    <mergeCell ref="L12:Q12"/>
    <mergeCell ref="R12:S12"/>
    <mergeCell ref="L13:Q13"/>
    <mergeCell ref="I13:J13"/>
    <mergeCell ref="G12:H12"/>
    <mergeCell ref="B12:F12"/>
    <mergeCell ref="B8:R8"/>
    <mergeCell ref="S8:U8"/>
    <mergeCell ref="B7:J7"/>
    <mergeCell ref="K7:L7"/>
    <mergeCell ref="N7:O7"/>
    <mergeCell ref="P7:S7"/>
    <mergeCell ref="T7:U7"/>
    <mergeCell ref="T12:V12"/>
    <mergeCell ref="I12:K12"/>
    <mergeCell ref="L51:M51"/>
    <mergeCell ref="I52:K52"/>
    <mergeCell ref="L52:M52"/>
    <mergeCell ref="O51:Q51"/>
    <mergeCell ref="R51:S51"/>
    <mergeCell ref="O52:Q52"/>
    <mergeCell ref="R52:S52"/>
    <mergeCell ref="C51:E51"/>
    <mergeCell ref="F51:G51"/>
    <mergeCell ref="C52:E52"/>
    <mergeCell ref="F52:G52"/>
    <mergeCell ref="I51:K51"/>
    <mergeCell ref="R41:S41"/>
    <mergeCell ref="I43:J43"/>
    <mergeCell ref="I44:J44"/>
    <mergeCell ref="B42:F42"/>
    <mergeCell ref="I42:J42"/>
    <mergeCell ref="T28:U28"/>
    <mergeCell ref="T29:U29"/>
    <mergeCell ref="T30:U30"/>
    <mergeCell ref="T32:U32"/>
    <mergeCell ref="O27:S27"/>
    <mergeCell ref="T27:V27"/>
    <mergeCell ref="O28:S28"/>
    <mergeCell ref="O29:S29"/>
    <mergeCell ref="O30:S30"/>
    <mergeCell ref="T31:U31"/>
    <mergeCell ref="F31:L31"/>
    <mergeCell ref="B37:F37"/>
    <mergeCell ref="G37:I37"/>
    <mergeCell ref="K37:L37"/>
    <mergeCell ref="O32:S32"/>
    <mergeCell ref="S47:U47"/>
    <mergeCell ref="L14:R14"/>
    <mergeCell ref="S14:U14"/>
    <mergeCell ref="B29:E29"/>
    <mergeCell ref="B28:E28"/>
    <mergeCell ref="B27:E27"/>
    <mergeCell ref="F27:N27"/>
    <mergeCell ref="M32:N32"/>
    <mergeCell ref="F32:L32"/>
    <mergeCell ref="B32:E32"/>
    <mergeCell ref="T33:U33"/>
    <mergeCell ref="O31:S31"/>
    <mergeCell ref="T37:U37"/>
    <mergeCell ref="B30:E30"/>
    <mergeCell ref="B31:E31"/>
    <mergeCell ref="M31:N3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I21"/>
  <sheetViews>
    <sheetView workbookViewId="0">
      <selection activeCell="C8" sqref="C8"/>
    </sheetView>
  </sheetViews>
  <sheetFormatPr defaultRowHeight="12"/>
  <cols>
    <col min="1" max="1" width="2.625" style="3" customWidth="1"/>
    <col min="2" max="2" width="3.25" style="4" bestFit="1" customWidth="1"/>
    <col min="3" max="3" width="24" style="3" bestFit="1" customWidth="1"/>
    <col min="4" max="4" width="3.125" style="13" customWidth="1"/>
    <col min="5" max="5" width="4.75" style="3" bestFit="1" customWidth="1"/>
    <col min="6" max="6" width="8" style="2" bestFit="1" customWidth="1"/>
    <col min="7" max="7" width="3.125" style="14" customWidth="1"/>
    <col min="8" max="8" width="4.75" style="3" bestFit="1" customWidth="1"/>
    <col min="9" max="10" width="8" style="2" bestFit="1" customWidth="1"/>
    <col min="11" max="11" width="11.375" style="2" bestFit="1" customWidth="1"/>
    <col min="12" max="14" width="9" style="2"/>
    <col min="15" max="15" width="4.75" style="2" bestFit="1" customWidth="1"/>
    <col min="16" max="16" width="17.125" style="2" bestFit="1" customWidth="1"/>
    <col min="17" max="16384" width="9" style="2"/>
  </cols>
  <sheetData>
    <row r="1" spans="1:9">
      <c r="A1" s="3" t="s">
        <v>6</v>
      </c>
    </row>
    <row r="2" spans="1:9">
      <c r="E2" s="87" t="s">
        <v>26</v>
      </c>
      <c r="F2" s="87"/>
      <c r="H2" s="87" t="s">
        <v>27</v>
      </c>
      <c r="I2" s="87"/>
    </row>
    <row r="3" spans="1:9" ht="12.75" thickBot="1">
      <c r="C3" s="5" t="s">
        <v>7</v>
      </c>
      <c r="D3" s="14"/>
      <c r="E3" s="5" t="s">
        <v>4</v>
      </c>
      <c r="F3" s="5" t="s">
        <v>5</v>
      </c>
      <c r="H3" s="5" t="s">
        <v>4</v>
      </c>
      <c r="I3" s="5" t="s">
        <v>5</v>
      </c>
    </row>
    <row r="4" spans="1:9" ht="12.75" thickTop="1">
      <c r="C4" s="3" t="s">
        <v>8</v>
      </c>
      <c r="E4" s="4">
        <v>0</v>
      </c>
      <c r="F4" s="2" t="s">
        <v>25</v>
      </c>
      <c r="H4" s="4">
        <v>0</v>
      </c>
      <c r="I4" s="2" t="s">
        <v>25</v>
      </c>
    </row>
    <row r="5" spans="1:9">
      <c r="C5" s="3" t="s">
        <v>9</v>
      </c>
      <c r="E5" s="1">
        <v>0.01</v>
      </c>
      <c r="F5" s="2" t="s">
        <v>22</v>
      </c>
      <c r="H5" s="1">
        <v>0.01</v>
      </c>
      <c r="I5" s="2" t="s">
        <v>22</v>
      </c>
    </row>
    <row r="6" spans="1:9">
      <c r="C6" s="3" t="s">
        <v>10</v>
      </c>
      <c r="E6" s="1">
        <v>1.7</v>
      </c>
      <c r="F6" s="2" t="s">
        <v>23</v>
      </c>
      <c r="H6" s="1">
        <v>0.6</v>
      </c>
      <c r="I6" s="2" t="s">
        <v>23</v>
      </c>
    </row>
    <row r="7" spans="1:9">
      <c r="C7" s="3" t="s">
        <v>11</v>
      </c>
      <c r="E7" s="1">
        <v>3.5</v>
      </c>
      <c r="F7" s="2" t="s">
        <v>24</v>
      </c>
      <c r="H7" s="1">
        <v>1.2</v>
      </c>
      <c r="I7" s="2" t="s">
        <v>24</v>
      </c>
    </row>
    <row r="8" spans="1:9">
      <c r="C8" s="3" t="s">
        <v>12</v>
      </c>
    </row>
    <row r="9" spans="1:9">
      <c r="C9" s="3" t="s">
        <v>13</v>
      </c>
    </row>
    <row r="12" spans="1:9">
      <c r="C12" s="3" t="s">
        <v>14</v>
      </c>
    </row>
    <row r="13" spans="1:9">
      <c r="C13" s="3" t="s">
        <v>15</v>
      </c>
    </row>
    <row r="14" spans="1:9">
      <c r="C14" s="3" t="s">
        <v>16</v>
      </c>
    </row>
    <row r="15" spans="1:9">
      <c r="C15" s="3" t="s">
        <v>17</v>
      </c>
    </row>
    <row r="16" spans="1:9">
      <c r="C16" s="3" t="s">
        <v>18</v>
      </c>
    </row>
    <row r="17" spans="3:3">
      <c r="C17" s="3" t="s">
        <v>19</v>
      </c>
    </row>
    <row r="18" spans="3:3">
      <c r="C18" s="3" t="s">
        <v>20</v>
      </c>
    </row>
    <row r="19" spans="3:3">
      <c r="C19" s="3" t="s">
        <v>21</v>
      </c>
    </row>
    <row r="21" spans="3:3">
      <c r="C21" s="3" t="s">
        <v>63</v>
      </c>
    </row>
  </sheetData>
  <sheetProtection algorithmName="SHA-512" hashValue="1gTmLGm22uFsJqww3nbT9Q/dJ5aWi3E5nJJoRH83GtG2LOme8LEmQDaBAQKy7O4f/WJ78CR2IRq9xH2IQhpSDA==" saltValue="Pj0fb/8/Xmb0tg2UQ+x1DQ==" spinCount="100000" sheet="1" objects="1" scenarios="1"/>
  <mergeCells count="2">
    <mergeCell ref="E2:F2"/>
    <mergeCell ref="H2:I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注意事項</vt:lpstr>
      <vt:lpstr>対象機器等一覧</vt:lpstr>
      <vt:lpstr>補助金算定表</vt:lpstr>
      <vt:lpstr>リスト</vt:lpstr>
      <vt:lpstr>対象機器等一覧!Print_Area</vt:lpstr>
      <vt:lpstr>注意事項!Print_Area</vt:lpstr>
      <vt:lpstr>補助金算定表!Print_Area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　雄亮</dc:creator>
  <cp:lastModifiedBy>今井　雄亮</cp:lastModifiedBy>
  <cp:lastPrinted>2025-03-31T08:31:08Z</cp:lastPrinted>
  <dcterms:created xsi:type="dcterms:W3CDTF">2015-06-05T18:19:34Z</dcterms:created>
  <dcterms:modified xsi:type="dcterms:W3CDTF">2025-04-15T08:54:27Z</dcterms:modified>
</cp:coreProperties>
</file>